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076" activeTab="1"/>
  </bookViews>
  <sheets>
    <sheet name="Balkendiagramm 2006" sheetId="1" r:id="rId1"/>
    <sheet name="BR ZB 2006 Druck" sheetId="2" r:id="rId2"/>
  </sheets>
  <externalReferences>
    <externalReference r:id="rId5"/>
  </externalReferences>
  <definedNames>
    <definedName name="Beitrag_Einwohner">#REF!</definedName>
    <definedName name="Beitrag_evangelische">#REF!</definedName>
    <definedName name="Beitrag_Katholische">#REF!</definedName>
    <definedName name="_xlnm.Print_Titles" localSheetId="1">'BR ZB 2006 Druck'!$A:$A,'BR ZB 2006 Druck'!$1:$2</definedName>
    <definedName name="Heidenfaktor_ohne_Betroffenheit">#REF!</definedName>
    <definedName name="Kirchenbezirk">#REF!</definedName>
    <definedName name="Kirchenbezirk_stat">#REF!</definedName>
    <definedName name="Urb._Gmdgl">#REF!</definedName>
    <definedName name="Zent_Gmdgl">#REF!</definedName>
    <definedName name="Zent_Mission">#REF!</definedName>
  </definedNames>
  <calcPr fullCalcOnLoad="1"/>
</workbook>
</file>

<file path=xl/comments2.xml><?xml version="1.0" encoding="utf-8"?>
<comments xmlns="http://schemas.openxmlformats.org/spreadsheetml/2006/main">
  <authors>
    <author>wall</author>
  </authors>
  <commentList>
    <comment ref="E56" authorId="0">
      <text>
        <r>
          <rPr>
            <b/>
            <sz val="8"/>
            <rFont val="Tahoma"/>
            <family val="0"/>
          </rPr>
          <t>wall:</t>
        </r>
        <r>
          <rPr>
            <sz val="8"/>
            <rFont val="Tahoma"/>
            <family val="0"/>
          </rPr>
          <t xml:space="preserve">
Nach Abstimmung mit Herrn Bantleon am 10. Februar 2005 Berücksichtigung der Korrektur des Meldewesens von Maienfels bereits für die GGZahlen 2004.</t>
        </r>
      </text>
    </comment>
  </commentList>
</comments>
</file>

<file path=xl/sharedStrings.xml><?xml version="1.0" encoding="utf-8"?>
<sst xmlns="http://schemas.openxmlformats.org/spreadsheetml/2006/main" count="159" uniqueCount="108">
  <si>
    <t>Berechnung der Zuweisungsbeträge 2006 nach dem neuen Verteilverfahren ab 2006 - Abl. 61 S. 333.</t>
  </si>
  <si>
    <t>Beträge in €</t>
  </si>
  <si>
    <t>Werte 2005 nach "Biberacher Tabelle"</t>
  </si>
  <si>
    <t>Kriterien der Soll-Zuweisungsbeträge ab 2006</t>
  </si>
  <si>
    <t>Strukturanpassungsbeiträge</t>
  </si>
  <si>
    <t>Fortschreibung Werte Spalte B</t>
  </si>
  <si>
    <t>Annäherung von Soll und Ist</t>
  </si>
  <si>
    <t>Zuweisungsbeträge 2006</t>
  </si>
  <si>
    <t>A</t>
  </si>
  <si>
    <t>B</t>
  </si>
  <si>
    <t>C</t>
  </si>
  <si>
    <t>D</t>
  </si>
  <si>
    <t xml:space="preserve">E </t>
  </si>
  <si>
    <t xml:space="preserve">F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</si>
  <si>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</si>
  <si>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</si>
  <si>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</si>
  <si>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</si>
  <si>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</si>
  <si>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</si>
  <si>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</si>
  <si>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</si>
  <si>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</si>
  <si>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</si>
  <si>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</si>
  <si>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</si>
  <si>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</si>
  <si>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</si>
  <si>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</si>
  <si>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</si>
  <si>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</si>
  <si>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</si>
  <si>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Kirchen-bezirke</t>
  </si>
  <si>
    <t>Zuweisungs-betrag 2005</t>
  </si>
  <si>
    <t>Gemeinde-glieder Stand 2003-12-31</t>
  </si>
  <si>
    <t>Zuweisungs-betrag 2005 pro Gemeinde-glied</t>
  </si>
  <si>
    <t>Gemeinde-glieder Stand 2004-12-31</t>
  </si>
  <si>
    <t>Sockel-betrag pro Kirchen-bezirk</t>
  </si>
  <si>
    <t>Zuweisungs-betrag nach Gemeinde-gliedern</t>
  </si>
  <si>
    <t>Landes-hauptstadt (Zentrum)</t>
  </si>
  <si>
    <t>Landes-hauptstadt (Rand)</t>
  </si>
  <si>
    <t>Summe der Soll-Zuweisungs-beträge (Spalten F bis N)</t>
  </si>
  <si>
    <t>Struktur-anpassungs-beiträge</t>
  </si>
  <si>
    <t>Summe Soll mit Struktur-anpassungs-beitrag (Spalte O und P)</t>
  </si>
  <si>
    <t>Anpassung der Zuweisungsbeträge 2005 nach Entwicklung der Gemeindeglieder</t>
  </si>
  <si>
    <t>Gewichtung der Zuweisungs-beträge 2005 nach der Höhe des Verteilbetrags 2006</t>
  </si>
  <si>
    <t>Summe von Spalte T und Spalte U</t>
  </si>
  <si>
    <t>Zuweisungs-beträge 2006</t>
  </si>
  <si>
    <t>Kirchenbezirke</t>
  </si>
  <si>
    <t>Aalen</t>
  </si>
  <si>
    <t>Backnang</t>
  </si>
  <si>
    <t>Bad Cannstatt</t>
  </si>
  <si>
    <t>Bad Urach</t>
  </si>
  <si>
    <t>Balingen</t>
  </si>
  <si>
    <t>Bernhausen</t>
  </si>
  <si>
    <t>Besigheim</t>
  </si>
  <si>
    <t>Biberach</t>
  </si>
  <si>
    <t>Blaubeuren</t>
  </si>
  <si>
    <t>Blaufelden</t>
  </si>
  <si>
    <t>Böblingen</t>
  </si>
  <si>
    <t>Brackenheim</t>
  </si>
  <si>
    <t>Calw</t>
  </si>
  <si>
    <t>Crailsheim</t>
  </si>
  <si>
    <t>Degerloch</t>
  </si>
  <si>
    <t>Ditzingen</t>
  </si>
  <si>
    <t>Esslingen</t>
  </si>
  <si>
    <t>Freudenstadt</t>
  </si>
  <si>
    <t>Gaildorf</t>
  </si>
  <si>
    <t>Geislingen</t>
  </si>
  <si>
    <t>Göppingen</t>
  </si>
  <si>
    <t>Heidenheim</t>
  </si>
  <si>
    <t>Heilbronn</t>
  </si>
  <si>
    <t>Herrenberg</t>
  </si>
  <si>
    <t>Kirchheim</t>
  </si>
  <si>
    <t>Künzelsau</t>
  </si>
  <si>
    <t>Leonberg</t>
  </si>
  <si>
    <t>Ludwigsburg</t>
  </si>
  <si>
    <t>Marbach</t>
  </si>
  <si>
    <t>Mühlacker</t>
  </si>
  <si>
    <t>Münsingen</t>
  </si>
  <si>
    <t>Nagold</t>
  </si>
  <si>
    <t>Neuenbürg</t>
  </si>
  <si>
    <t>Neuenstadt</t>
  </si>
  <si>
    <t>Nürtingen</t>
  </si>
  <si>
    <t>Öhringen</t>
  </si>
  <si>
    <t>Ravensburg</t>
  </si>
  <si>
    <t>Reutlingen</t>
  </si>
  <si>
    <t>Schorndorf</t>
  </si>
  <si>
    <t>Schw. Gmünd</t>
  </si>
  <si>
    <t>Schw. Hall</t>
  </si>
  <si>
    <t>Stuttgart</t>
  </si>
  <si>
    <t>Sulz</t>
  </si>
  <si>
    <t>Tübingen</t>
  </si>
  <si>
    <t>Tuttlingen</t>
  </si>
  <si>
    <t>Ulm</t>
  </si>
  <si>
    <t>Vaihingen</t>
  </si>
  <si>
    <t>Waiblingen</t>
  </si>
  <si>
    <t>Weikersheim</t>
  </si>
  <si>
    <t>Weinsberg</t>
  </si>
  <si>
    <t>Zuffenhausen</t>
  </si>
  <si>
    <t>Prozentuale Anteile:</t>
  </si>
  <si>
    <r>
      <t xml:space="preserve">Zuweis.-betrag für Gemeinde-glieder über </t>
    </r>
    <r>
      <rPr>
        <b/>
        <sz val="10"/>
        <rFont val="Arial"/>
        <family val="2"/>
      </rPr>
      <t>60.000</t>
    </r>
    <r>
      <rPr>
        <sz val="10"/>
        <rFont val="Arial"/>
        <family val="0"/>
      </rPr>
      <t xml:space="preserve"> Gemeinde-glieder</t>
    </r>
  </si>
  <si>
    <r>
      <t xml:space="preserve">Betrag pro Kirchen-gemeinde nach </t>
    </r>
    <r>
      <rPr>
        <b/>
        <sz val="10"/>
        <rFont val="Arial"/>
        <family val="2"/>
      </rPr>
      <t>modifiz.</t>
    </r>
    <r>
      <rPr>
        <sz val="10"/>
        <rFont val="Arial"/>
        <family val="0"/>
      </rPr>
      <t xml:space="preserve"> Zahl d. Kirchen-gemeinden</t>
    </r>
  </si>
  <si>
    <r>
      <t xml:space="preserve">Großstadt </t>
    </r>
    <r>
      <rPr>
        <b/>
        <sz val="10"/>
        <rFont val="Arial"/>
        <family val="2"/>
      </rPr>
      <t>über 100.000</t>
    </r>
    <r>
      <rPr>
        <sz val="10"/>
        <rFont val="Arial"/>
        <family val="0"/>
      </rPr>
      <t xml:space="preserve"> Einwohner</t>
    </r>
  </si>
  <si>
    <r>
      <t xml:space="preserve">Großstadt </t>
    </r>
    <r>
      <rPr>
        <b/>
        <sz val="10"/>
        <rFont val="Arial"/>
        <family val="2"/>
      </rPr>
      <t>über 80.000</t>
    </r>
    <r>
      <rPr>
        <sz val="10"/>
        <rFont val="Arial"/>
        <family val="0"/>
      </rPr>
      <t xml:space="preserve"> Einwohner</t>
    </r>
  </si>
  <si>
    <r>
      <t xml:space="preserve">Ober-zentrum </t>
    </r>
    <r>
      <rPr>
        <b/>
        <sz val="10"/>
        <rFont val="Arial"/>
        <family val="2"/>
      </rPr>
      <t>unter 80.000</t>
    </r>
    <r>
      <rPr>
        <sz val="10"/>
        <rFont val="Arial"/>
        <family val="0"/>
      </rPr>
      <t xml:space="preserve"> Einwohner</t>
    </r>
  </si>
  <si>
    <r>
      <t xml:space="preserve">Verteil-maßstab: </t>
    </r>
    <r>
      <rPr>
        <b/>
        <sz val="10"/>
        <rFont val="Arial"/>
        <family val="2"/>
      </rPr>
      <t>94,5%</t>
    </r>
    <r>
      <rPr>
        <sz val="10"/>
        <rFont val="Arial"/>
        <family val="0"/>
      </rPr>
      <t xml:space="preserve"> aus Spalte S</t>
    </r>
  </si>
  <si>
    <r>
      <t xml:space="preserve">Verteil-maßstab: </t>
    </r>
    <r>
      <rPr>
        <b/>
        <sz val="10"/>
        <rFont val="Arial"/>
        <family val="2"/>
      </rPr>
      <t xml:space="preserve">5,5% </t>
    </r>
    <r>
      <rPr>
        <sz val="10"/>
        <rFont val="Arial"/>
        <family val="0"/>
      </rPr>
      <t>aus Spalte Q</t>
    </r>
  </si>
</sst>
</file>

<file path=xl/styles.xml><?xml version="1.0" encoding="utf-8"?>
<styleSheet xmlns="http://schemas.openxmlformats.org/spreadsheetml/2006/main">
  <numFmts count="6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%"/>
    <numFmt numFmtId="173" formatCode="0.000000"/>
    <numFmt numFmtId="174" formatCode="0.00000"/>
    <numFmt numFmtId="175" formatCode="0.0000000%"/>
    <numFmt numFmtId="176" formatCode="0.0000000000%"/>
    <numFmt numFmtId="177" formatCode="#,##0.0000000000"/>
    <numFmt numFmtId="178" formatCode="#,##0.000000000000000"/>
    <numFmt numFmtId="179" formatCode="#,##0.000000000000"/>
    <numFmt numFmtId="180" formatCode="0.0000"/>
    <numFmt numFmtId="181" formatCode="0.000"/>
    <numFmt numFmtId="182" formatCode="0.0"/>
    <numFmt numFmtId="183" formatCode="0.00000000"/>
    <numFmt numFmtId="184" formatCode="0.0000000"/>
    <numFmt numFmtId="185" formatCode="_-* #,##0.0\ _D_M_-;\-* #,##0.0\ _D_M_-;_-* &quot;-&quot;??\ _D_M_-;_-@_-"/>
    <numFmt numFmtId="186" formatCode="_-* #,##0\ _D_M_-;\-* #,##0\ _D_M_-;_-* &quot;-&quot;??\ _D_M_-;_-@_-"/>
    <numFmt numFmtId="187" formatCode="_-* #,##0.000\ _D_M_-;\-* #,##0.000\ _D_M_-;_-* &quot;-&quot;??\ _D_M_-;_-@_-"/>
    <numFmt numFmtId="188" formatCode="_-* #,##0.0000\ _D_M_-;\-* #,##0.0000\ _D_M_-;_-* &quot;-&quot;??\ _D_M_-;_-@_-"/>
    <numFmt numFmtId="189" formatCode="_-* #,##0.00000\ _D_M_-;\-* #,##0.00000\ _D_M_-;_-* &quot;-&quot;??\ _D_M_-;_-@_-"/>
    <numFmt numFmtId="190" formatCode="_-* #,##0.000000\ _D_M_-;\-* #,##0.000000\ _D_M_-;_-* &quot;-&quot;??\ _D_M_-;_-@_-"/>
    <numFmt numFmtId="191" formatCode="_-* #,##0.0000000\ _D_M_-;\-* #,##0.0000000\ _D_M_-;_-* &quot;-&quot;??\ _D_M_-;_-@_-"/>
    <numFmt numFmtId="192" formatCode="00000.000000"/>
    <numFmt numFmtId="193" formatCode="0000.000"/>
    <numFmt numFmtId="194" formatCode="00.00"/>
    <numFmt numFmtId="195" formatCode="#,##0.00\ &quot;DM&quot;"/>
    <numFmt numFmtId="196" formatCode="000000.00000"/>
    <numFmt numFmtId="197" formatCode="0.0%"/>
    <numFmt numFmtId="198" formatCode="#,##0.0"/>
    <numFmt numFmtId="199" formatCode="#,##0.000"/>
    <numFmt numFmtId="200" formatCode="00.000"/>
    <numFmt numFmtId="201" formatCode="#,##0\ &quot;DM&quot;"/>
    <numFmt numFmtId="202" formatCode="\-\ &quot;DM&quot;"/>
    <numFmt numFmtId="203" formatCode="0\ &quot;DM&quot;"/>
    <numFmt numFmtId="204" formatCode="#,##0.0000000000000"/>
    <numFmt numFmtId="205" formatCode="#,##0.00000000"/>
    <numFmt numFmtId="206" formatCode="#,##0.0000000"/>
    <numFmt numFmtId="207" formatCode="#,##0.000000000000000000"/>
    <numFmt numFmtId="208" formatCode="#,##0.000_ ;\-#,##0.000\ "/>
    <numFmt numFmtId="209" formatCode="_-* #,##0.000\ &quot;DM&quot;_-;\-* #,##0.000\ &quot;DM&quot;_-;_-* &quot;-&quot;???\ &quot;DM&quot;_-;_-@_-"/>
    <numFmt numFmtId="210" formatCode="#,##0.00000000000000000_ ;\-#,##0.00000000000000000\ "/>
    <numFmt numFmtId="211" formatCode="_-* #,##0.00000000000000000\ &quot;DM&quot;_-;\-* #,##0.00000000000000000\ &quot;DM&quot;_-;_-* &quot;-&quot;?????????????????\ &quot;DM&quot;_-;_-@_-"/>
    <numFmt numFmtId="212" formatCode="#,##0.00000_ ;\-#,##0.00000\ "/>
    <numFmt numFmtId="213" formatCode="#,##0.00000\ &quot;DM&quot;"/>
    <numFmt numFmtId="214" formatCode="#,##0_ ;\-#,##0\ "/>
    <numFmt numFmtId="215" formatCode="#,##0.00_ ;\-#,##0.00\ "/>
    <numFmt numFmtId="216" formatCode="#,##0\ \€"/>
    <numFmt numFmtId="217" formatCode="#,##0\ \€;\-#,##0\ \€"/>
    <numFmt numFmtId="218" formatCode="#,##0.00\ \€;\-#,##0.00\ \€"/>
    <numFmt numFmtId="219" formatCode="#,##0\ &quot;€&quot;"/>
    <numFmt numFmtId="220" formatCode="#,##0.00\ &quot;€&quot;"/>
    <numFmt numFmtId="221" formatCode="#,##0.00\ [$DEM]"/>
    <numFmt numFmtId="222" formatCode="#,##0\ [$DEM]"/>
  </numFmts>
  <fonts count="18">
    <font>
      <sz val="10"/>
      <name val="Arial"/>
      <family val="0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6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.75"/>
      <color indexed="12"/>
      <name val="Arial"/>
      <family val="2"/>
    </font>
    <font>
      <sz val="8"/>
      <name val="Arial"/>
      <family val="0"/>
    </font>
    <font>
      <b/>
      <sz val="13.25"/>
      <color indexed="12"/>
      <name val="Arial"/>
      <family val="2"/>
    </font>
    <font>
      <b/>
      <sz val="9.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18"/>
      </right>
      <top style="medium"/>
      <bottom>
        <color indexed="63"/>
      </bottom>
    </border>
    <border>
      <left style="medium">
        <color indexed="18"/>
      </left>
      <right>
        <color indexed="63"/>
      </right>
      <top style="medium"/>
      <bottom>
        <color indexed="63"/>
      </bottom>
    </border>
    <border>
      <left style="thin"/>
      <right style="medium">
        <color indexed="18"/>
      </right>
      <top style="medium"/>
      <bottom>
        <color indexed="63"/>
      </bottom>
    </border>
    <border>
      <left style="medium">
        <color indexed="18"/>
      </left>
      <right style="thin"/>
      <top style="medium"/>
      <bottom style="thin">
        <color indexed="18"/>
      </bottom>
    </border>
    <border>
      <left style="thin"/>
      <right style="medium">
        <color indexed="1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 style="thin"/>
      <right style="medium">
        <color indexed="18"/>
      </right>
      <top style="thin"/>
      <bottom style="thin"/>
    </border>
    <border>
      <left style="medium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>
        <color indexed="16"/>
      </bottom>
    </border>
    <border>
      <left>
        <color indexed="63"/>
      </left>
      <right>
        <color indexed="63"/>
      </right>
      <top style="thin"/>
      <bottom style="medium">
        <color indexed="16"/>
      </bottom>
    </border>
    <border>
      <left style="thin"/>
      <right style="thin"/>
      <top style="thin"/>
      <bottom style="medium">
        <color indexed="16"/>
      </bottom>
    </border>
    <border>
      <left>
        <color indexed="63"/>
      </left>
      <right style="medium">
        <color indexed="18"/>
      </right>
      <top style="thin"/>
      <bottom style="medium">
        <color indexed="16"/>
      </bottom>
    </border>
    <border>
      <left style="medium">
        <color indexed="18"/>
      </left>
      <right>
        <color indexed="63"/>
      </right>
      <top style="thin"/>
      <bottom style="medium">
        <color indexed="16"/>
      </bottom>
    </border>
    <border>
      <left style="thin"/>
      <right style="medium">
        <color indexed="18"/>
      </right>
      <top style="thin"/>
      <bottom style="medium">
        <color indexed="16"/>
      </bottom>
    </border>
    <border>
      <left style="medium">
        <color indexed="18"/>
      </left>
      <right style="thin"/>
      <top style="thin">
        <color indexed="18"/>
      </top>
      <bottom style="medium">
        <color indexed="16"/>
      </bottom>
    </border>
    <border>
      <left style="thin"/>
      <right style="medium"/>
      <top style="thin"/>
      <bottom style="medium">
        <color indexed="16"/>
      </bottom>
    </border>
    <border>
      <left style="medium"/>
      <right>
        <color indexed="63"/>
      </right>
      <top style="thin"/>
      <bottom style="medium">
        <color indexed="16"/>
      </bottom>
    </border>
    <border>
      <left>
        <color indexed="63"/>
      </left>
      <right style="medium"/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6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6"/>
      </top>
      <bottom>
        <color indexed="63"/>
      </bottom>
    </border>
    <border>
      <left style="thin"/>
      <right style="medium">
        <color indexed="18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medium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8" xfId="0" applyFill="1" applyBorder="1" applyAlignment="1">
      <alignment/>
    </xf>
    <xf numFmtId="4" fontId="8" fillId="3" borderId="8" xfId="0" applyNumberFormat="1" applyFont="1" applyFill="1" applyBorder="1" applyAlignment="1">
      <alignment/>
    </xf>
    <xf numFmtId="178" fontId="8" fillId="3" borderId="8" xfId="0" applyNumberFormat="1" applyFont="1" applyFill="1" applyBorder="1" applyAlignment="1">
      <alignment/>
    </xf>
    <xf numFmtId="4" fontId="8" fillId="4" borderId="8" xfId="0" applyNumberFormat="1" applyFon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4" borderId="0" xfId="0" applyNumberFormat="1" applyFill="1" applyAlignment="1">
      <alignment/>
    </xf>
    <xf numFmtId="4" fontId="0" fillId="0" borderId="11" xfId="0" applyNumberFormat="1" applyBorder="1" applyAlignment="1">
      <alignment/>
    </xf>
    <xf numFmtId="4" fontId="0" fillId="4" borderId="11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8" fillId="0" borderId="1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4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4" borderId="20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8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4" borderId="28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4" borderId="29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8" fillId="0" borderId="3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3" fontId="0" fillId="4" borderId="37" xfId="0" applyNumberFormat="1" applyFill="1" applyBorder="1" applyAlignment="1">
      <alignment/>
    </xf>
    <xf numFmtId="4" fontId="0" fillId="0" borderId="38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8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9" fillId="5" borderId="0" xfId="0" applyFont="1" applyFill="1" applyAlignment="1">
      <alignment/>
    </xf>
    <xf numFmtId="176" fontId="9" fillId="5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10" xfId="0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4" fontId="8" fillId="2" borderId="8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Zuweisungsbetrag 2006 pro Gemeindeglied</a:t>
            </a:r>
          </a:p>
        </c:rich>
      </c:tx>
      <c:layout>
        <c:manualLayout>
          <c:xMode val="factor"/>
          <c:yMode val="factor"/>
          <c:x val="-0.00625"/>
          <c:y val="-0.016"/>
        </c:manualLayout>
      </c:layout>
      <c:spPr>
        <a:gradFill rotWithShape="1">
          <a:gsLst>
            <a:gs pos="0">
              <a:srgbClr val="FFFF99"/>
            </a:gs>
            <a:gs pos="100000">
              <a:srgbClr val="D6D680"/>
            </a:gs>
          </a:gsLst>
          <a:lin ang="5400000" scaled="1"/>
        </a:gradFill>
        <a:ln w="25400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75"/>
          <c:y val="0.0735"/>
          <c:w val="0.9907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v>Zuweisungsbetrag pro Gemeindeglied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'[1]Diagrammdaten'!$A$1:$A$51</c:f>
              <c:strCache>
                <c:ptCount val="51"/>
                <c:pt idx="0">
                  <c:v>Marbach</c:v>
                </c:pt>
                <c:pt idx="1">
                  <c:v>Nürtingen</c:v>
                </c:pt>
                <c:pt idx="2">
                  <c:v>Böblingen</c:v>
                </c:pt>
                <c:pt idx="3">
                  <c:v>Weinsberg</c:v>
                </c:pt>
                <c:pt idx="4">
                  <c:v>Kirchheim</c:v>
                </c:pt>
                <c:pt idx="5">
                  <c:v>Leonberg</c:v>
                </c:pt>
                <c:pt idx="6">
                  <c:v>Besigheim</c:v>
                </c:pt>
                <c:pt idx="7">
                  <c:v>Biberach</c:v>
                </c:pt>
                <c:pt idx="8">
                  <c:v>Neuenstadt</c:v>
                </c:pt>
                <c:pt idx="9">
                  <c:v>Ditzingen</c:v>
                </c:pt>
                <c:pt idx="10">
                  <c:v>Schorndorf</c:v>
                </c:pt>
                <c:pt idx="11">
                  <c:v>Öhringen</c:v>
                </c:pt>
                <c:pt idx="12">
                  <c:v>Herrenberg</c:v>
                </c:pt>
                <c:pt idx="13">
                  <c:v>Gaildorf</c:v>
                </c:pt>
                <c:pt idx="14">
                  <c:v>Vaihingen</c:v>
                </c:pt>
                <c:pt idx="15">
                  <c:v>Ravensburg</c:v>
                </c:pt>
                <c:pt idx="16">
                  <c:v>Schw. Gmünd</c:v>
                </c:pt>
                <c:pt idx="17">
                  <c:v>Bernhausen</c:v>
                </c:pt>
                <c:pt idx="18">
                  <c:v>Tuttlingen</c:v>
                </c:pt>
                <c:pt idx="19">
                  <c:v>Mühlacker</c:v>
                </c:pt>
                <c:pt idx="20">
                  <c:v>Bad Urach</c:v>
                </c:pt>
                <c:pt idx="21">
                  <c:v>Göppingen</c:v>
                </c:pt>
                <c:pt idx="22">
                  <c:v>Blaubeuren</c:v>
                </c:pt>
                <c:pt idx="23">
                  <c:v>Backnang</c:v>
                </c:pt>
                <c:pt idx="24">
                  <c:v>Neuenbürg</c:v>
                </c:pt>
                <c:pt idx="25">
                  <c:v>Schw. Hall</c:v>
                </c:pt>
                <c:pt idx="26">
                  <c:v>Reutlingen</c:v>
                </c:pt>
                <c:pt idx="27">
                  <c:v>Balingen</c:v>
                </c:pt>
                <c:pt idx="28">
                  <c:v>Ludwigsburg</c:v>
                </c:pt>
                <c:pt idx="29">
                  <c:v>Crailsheim</c:v>
                </c:pt>
                <c:pt idx="30">
                  <c:v>Aalen</c:v>
                </c:pt>
                <c:pt idx="31">
                  <c:v>Brackenheim</c:v>
                </c:pt>
                <c:pt idx="32">
                  <c:v>Waiblingen</c:v>
                </c:pt>
                <c:pt idx="33">
                  <c:v>Sulz</c:v>
                </c:pt>
                <c:pt idx="34">
                  <c:v>Münsingen</c:v>
                </c:pt>
                <c:pt idx="35">
                  <c:v>Freudenstadt</c:v>
                </c:pt>
                <c:pt idx="36">
                  <c:v>Heidenheim</c:v>
                </c:pt>
                <c:pt idx="37">
                  <c:v>Calw</c:v>
                </c:pt>
                <c:pt idx="38">
                  <c:v>Geislingen</c:v>
                </c:pt>
                <c:pt idx="39">
                  <c:v>Nagold</c:v>
                </c:pt>
                <c:pt idx="40">
                  <c:v>Tübingen</c:v>
                </c:pt>
                <c:pt idx="41">
                  <c:v>Blaufelden</c:v>
                </c:pt>
                <c:pt idx="42">
                  <c:v>Heilbronn</c:v>
                </c:pt>
                <c:pt idx="43">
                  <c:v>Esslingen</c:v>
                </c:pt>
                <c:pt idx="44">
                  <c:v>Künzelsau</c:v>
                </c:pt>
                <c:pt idx="45">
                  <c:v>Degerloch</c:v>
                </c:pt>
                <c:pt idx="46">
                  <c:v>Zuffenhausen</c:v>
                </c:pt>
                <c:pt idx="47">
                  <c:v>Ulm</c:v>
                </c:pt>
                <c:pt idx="48">
                  <c:v>Weikersheim</c:v>
                </c:pt>
                <c:pt idx="49">
                  <c:v>Bad Cannstatt</c:v>
                </c:pt>
                <c:pt idx="50">
                  <c:v>Stuttgart</c:v>
                </c:pt>
              </c:strCache>
            </c:strRef>
          </c:cat>
          <c:val>
            <c:numRef>
              <c:f>'[1]Diagrammdaten'!$B$1:$B$51</c:f>
              <c:numCache>
                <c:ptCount val="51"/>
                <c:pt idx="0">
                  <c:v>59.04985483558169</c:v>
                </c:pt>
                <c:pt idx="1">
                  <c:v>59.89401039934736</c:v>
                </c:pt>
                <c:pt idx="2">
                  <c:v>60.6445424760107</c:v>
                </c:pt>
                <c:pt idx="3">
                  <c:v>60.68041157808729</c:v>
                </c:pt>
                <c:pt idx="4">
                  <c:v>61.20402773694325</c:v>
                </c:pt>
                <c:pt idx="5">
                  <c:v>61.35151058516652</c:v>
                </c:pt>
                <c:pt idx="6">
                  <c:v>61.64466156869045</c:v>
                </c:pt>
                <c:pt idx="7">
                  <c:v>62.944311128021816</c:v>
                </c:pt>
                <c:pt idx="8">
                  <c:v>63.35100708542511</c:v>
                </c:pt>
                <c:pt idx="9">
                  <c:v>63.634955278686895</c:v>
                </c:pt>
                <c:pt idx="10">
                  <c:v>64.74055785062258</c:v>
                </c:pt>
                <c:pt idx="11">
                  <c:v>64.92989780275006</c:v>
                </c:pt>
                <c:pt idx="12">
                  <c:v>65.27779535561037</c:v>
                </c:pt>
                <c:pt idx="13">
                  <c:v>65.48552947799945</c:v>
                </c:pt>
                <c:pt idx="14">
                  <c:v>65.78944704053757</c:v>
                </c:pt>
                <c:pt idx="15">
                  <c:v>65.8854030182843</c:v>
                </c:pt>
                <c:pt idx="16">
                  <c:v>66.47233302490086</c:v>
                </c:pt>
                <c:pt idx="17">
                  <c:v>66.52808578892909</c:v>
                </c:pt>
                <c:pt idx="18">
                  <c:v>67.20917678897973</c:v>
                </c:pt>
                <c:pt idx="19">
                  <c:v>68.22161700233968</c:v>
                </c:pt>
                <c:pt idx="20">
                  <c:v>68.422404830258</c:v>
                </c:pt>
                <c:pt idx="21">
                  <c:v>68.84200860064489</c:v>
                </c:pt>
                <c:pt idx="22">
                  <c:v>69.06621289221273</c:v>
                </c:pt>
                <c:pt idx="23">
                  <c:v>70.18078355824863</c:v>
                </c:pt>
                <c:pt idx="24">
                  <c:v>70.93052822476294</c:v>
                </c:pt>
                <c:pt idx="25">
                  <c:v>71.29605793332311</c:v>
                </c:pt>
                <c:pt idx="26">
                  <c:v>71.3000577285494</c:v>
                </c:pt>
                <c:pt idx="27">
                  <c:v>71.31916131562687</c:v>
                </c:pt>
                <c:pt idx="28">
                  <c:v>71.45468254948676</c:v>
                </c:pt>
                <c:pt idx="29">
                  <c:v>71.60554494138636</c:v>
                </c:pt>
                <c:pt idx="30">
                  <c:v>71.61130191305564</c:v>
                </c:pt>
                <c:pt idx="31">
                  <c:v>71.81292088810694</c:v>
                </c:pt>
                <c:pt idx="32">
                  <c:v>72.41946390993584</c:v>
                </c:pt>
                <c:pt idx="33">
                  <c:v>72.84474863625286</c:v>
                </c:pt>
                <c:pt idx="34">
                  <c:v>72.99282353966588</c:v>
                </c:pt>
                <c:pt idx="35">
                  <c:v>73.51413788745978</c:v>
                </c:pt>
                <c:pt idx="36">
                  <c:v>74.14669926489226</c:v>
                </c:pt>
                <c:pt idx="37">
                  <c:v>74.95784159938444</c:v>
                </c:pt>
                <c:pt idx="38">
                  <c:v>75.83960495124445</c:v>
                </c:pt>
                <c:pt idx="39">
                  <c:v>76.28431516438184</c:v>
                </c:pt>
                <c:pt idx="40">
                  <c:v>76.57876179495959</c:v>
                </c:pt>
                <c:pt idx="41">
                  <c:v>77.07107112796729</c:v>
                </c:pt>
                <c:pt idx="42">
                  <c:v>79.10114316883869</c:v>
                </c:pt>
                <c:pt idx="43">
                  <c:v>80.87926937977858</c:v>
                </c:pt>
                <c:pt idx="44">
                  <c:v>80.88589951587463</c:v>
                </c:pt>
                <c:pt idx="45">
                  <c:v>86.0487821029125</c:v>
                </c:pt>
                <c:pt idx="46">
                  <c:v>87.13344896679455</c:v>
                </c:pt>
                <c:pt idx="47">
                  <c:v>89.11694756212545</c:v>
                </c:pt>
                <c:pt idx="48">
                  <c:v>93.5650135328132</c:v>
                </c:pt>
                <c:pt idx="49">
                  <c:v>100.25857102077475</c:v>
                </c:pt>
                <c:pt idx="50">
                  <c:v>172.4533578490691</c:v>
                </c:pt>
              </c:numCache>
            </c:numRef>
          </c:val>
        </c:ser>
        <c:axId val="36005690"/>
        <c:axId val="55615755"/>
      </c:barChart>
      <c:catAx>
        <c:axId val="36005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615755"/>
        <c:crosses val="autoZero"/>
        <c:auto val="1"/>
        <c:lblOffset val="100"/>
        <c:tickLblSkip val="1"/>
        <c:noMultiLvlLbl val="0"/>
      </c:catAx>
      <c:valAx>
        <c:axId val="5561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 €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0056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3937007874015748" right="0.1968503937007874" top="0.7874015748031497" bottom="0.5905511811023623" header="0.11811023622047245" footer="0.11811023622047245"/>
  <pageSetup horizontalDpi="600" verticalDpi="600" orientation="portrait" paperSize="9"/>
  <headerFooter>
    <oddHeader>&amp;LEvang. Oberkirchenrat Stuttgart
&amp;R&amp;8Anlage 2 zu Rundschreiben AZ 74.20 Nr. 507/7</oddHeader>
    <oddFooter>&amp;L&amp;8Sachgebiet Finanzen der Kirchengemeinden und Statistik&amp;R&amp;8Erstellungsdatum: 1. Dezember 2005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0.1245</cdr:y>
    </cdr:from>
    <cdr:to>
      <cdr:x>0.9725</cdr:x>
      <cdr:y>0.1245</cdr:y>
    </cdr:to>
    <cdr:sp>
      <cdr:nvSpPr>
        <cdr:cNvPr id="1" name="Line 1"/>
        <cdr:cNvSpPr>
          <a:spLocks/>
        </cdr:cNvSpPr>
      </cdr:nvSpPr>
      <cdr:spPr>
        <a:xfrm>
          <a:off x="809625" y="1171575"/>
          <a:ext cx="5934075" cy="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0.2105</cdr:y>
    </cdr:from>
    <cdr:to>
      <cdr:x>0.9725</cdr:x>
      <cdr:y>0.2105</cdr:y>
    </cdr:to>
    <cdr:sp>
      <cdr:nvSpPr>
        <cdr:cNvPr id="2" name="Line 2"/>
        <cdr:cNvSpPr>
          <a:spLocks/>
        </cdr:cNvSpPr>
      </cdr:nvSpPr>
      <cdr:spPr>
        <a:xfrm>
          <a:off x="809625" y="1981200"/>
          <a:ext cx="5934075" cy="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0.5545</cdr:y>
    </cdr:from>
    <cdr:to>
      <cdr:x>0.9725</cdr:x>
      <cdr:y>0.5545</cdr:y>
    </cdr:to>
    <cdr:sp>
      <cdr:nvSpPr>
        <cdr:cNvPr id="3" name="Line 3"/>
        <cdr:cNvSpPr>
          <a:spLocks/>
        </cdr:cNvSpPr>
      </cdr:nvSpPr>
      <cdr:spPr>
        <a:xfrm>
          <a:off x="809625" y="5219700"/>
          <a:ext cx="5934075" cy="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0.91625</cdr:y>
    </cdr:from>
    <cdr:to>
      <cdr:x>0.9725</cdr:x>
      <cdr:y>0.91625</cdr:y>
    </cdr:to>
    <cdr:sp>
      <cdr:nvSpPr>
        <cdr:cNvPr id="4" name="Line 4"/>
        <cdr:cNvSpPr>
          <a:spLocks/>
        </cdr:cNvSpPr>
      </cdr:nvSpPr>
      <cdr:spPr>
        <a:xfrm>
          <a:off x="809625" y="8629650"/>
          <a:ext cx="5934075" cy="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e%20und%20Einstellungen\Hofmann_R\Lokale%20Einstellungen\temp\Dokumente%20und%20Einstellungen\Hofmann_R\Lokale%20Einstellungen\temp\VV%202006%20-%20BR%20ZB%202006%20Stand%202005-12-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kendiagramm 2006"/>
      <sheetName val="Diagrammdaten"/>
      <sheetName val="BR ZB 2006 Druck"/>
      <sheetName val="BR ZB 2006"/>
      <sheetName val="Soll VV 2006"/>
      <sheetName val="Kriterien - prozentuale Anteile"/>
      <sheetName val="KiGem - modifizierte Zahl"/>
      <sheetName val="Zuschläge"/>
    </sheetNames>
    <sheetDataSet>
      <sheetData sheetId="1">
        <row r="1">
          <cell r="A1" t="str">
            <v>Marbach</v>
          </cell>
          <cell r="B1">
            <v>59.04985483558169</v>
          </cell>
        </row>
        <row r="2">
          <cell r="A2" t="str">
            <v>Nürtingen</v>
          </cell>
          <cell r="B2">
            <v>59.89401039934736</v>
          </cell>
        </row>
        <row r="3">
          <cell r="A3" t="str">
            <v>Böblingen</v>
          </cell>
          <cell r="B3">
            <v>60.6445424760107</v>
          </cell>
        </row>
        <row r="4">
          <cell r="A4" t="str">
            <v>Weinsberg</v>
          </cell>
          <cell r="B4">
            <v>60.68041157808729</v>
          </cell>
        </row>
        <row r="5">
          <cell r="A5" t="str">
            <v>Kirchheim</v>
          </cell>
          <cell r="B5">
            <v>61.20402773694325</v>
          </cell>
        </row>
        <row r="6">
          <cell r="A6" t="str">
            <v>Leonberg</v>
          </cell>
          <cell r="B6">
            <v>61.35151058516652</v>
          </cell>
        </row>
        <row r="7">
          <cell r="A7" t="str">
            <v>Besigheim</v>
          </cell>
          <cell r="B7">
            <v>61.64466156869045</v>
          </cell>
        </row>
        <row r="8">
          <cell r="A8" t="str">
            <v>Biberach</v>
          </cell>
          <cell r="B8">
            <v>62.944311128021816</v>
          </cell>
        </row>
        <row r="9">
          <cell r="A9" t="str">
            <v>Neuenstadt</v>
          </cell>
          <cell r="B9">
            <v>63.35100708542511</v>
          </cell>
        </row>
        <row r="10">
          <cell r="A10" t="str">
            <v>Ditzingen</v>
          </cell>
          <cell r="B10">
            <v>63.634955278686895</v>
          </cell>
        </row>
        <row r="11">
          <cell r="A11" t="str">
            <v>Schorndorf</v>
          </cell>
          <cell r="B11">
            <v>64.74055785062258</v>
          </cell>
        </row>
        <row r="12">
          <cell r="A12" t="str">
            <v>Öhringen</v>
          </cell>
          <cell r="B12">
            <v>64.92989780275006</v>
          </cell>
        </row>
        <row r="13">
          <cell r="A13" t="str">
            <v>Herrenberg</v>
          </cell>
          <cell r="B13">
            <v>65.27779535561037</v>
          </cell>
        </row>
        <row r="14">
          <cell r="A14" t="str">
            <v>Gaildorf</v>
          </cell>
          <cell r="B14">
            <v>65.48552947799945</v>
          </cell>
        </row>
        <row r="15">
          <cell r="A15" t="str">
            <v>Vaihingen</v>
          </cell>
          <cell r="B15">
            <v>65.78944704053757</v>
          </cell>
        </row>
        <row r="16">
          <cell r="A16" t="str">
            <v>Ravensburg</v>
          </cell>
          <cell r="B16">
            <v>65.8854030182843</v>
          </cell>
        </row>
        <row r="17">
          <cell r="A17" t="str">
            <v>Schw. Gmünd</v>
          </cell>
          <cell r="B17">
            <v>66.47233302490086</v>
          </cell>
        </row>
        <row r="18">
          <cell r="A18" t="str">
            <v>Bernhausen</v>
          </cell>
          <cell r="B18">
            <v>66.52808578892909</v>
          </cell>
        </row>
        <row r="19">
          <cell r="A19" t="str">
            <v>Tuttlingen</v>
          </cell>
          <cell r="B19">
            <v>67.20917678897973</v>
          </cell>
        </row>
        <row r="20">
          <cell r="A20" t="str">
            <v>Mühlacker</v>
          </cell>
          <cell r="B20">
            <v>68.22161700233968</v>
          </cell>
        </row>
        <row r="21">
          <cell r="A21" t="str">
            <v>Bad Urach</v>
          </cell>
          <cell r="B21">
            <v>68.422404830258</v>
          </cell>
        </row>
        <row r="22">
          <cell r="A22" t="str">
            <v>Göppingen</v>
          </cell>
          <cell r="B22">
            <v>68.84200860064489</v>
          </cell>
        </row>
        <row r="23">
          <cell r="A23" t="str">
            <v>Blaubeuren</v>
          </cell>
          <cell r="B23">
            <v>69.06621289221273</v>
          </cell>
        </row>
        <row r="24">
          <cell r="A24" t="str">
            <v>Backnang</v>
          </cell>
          <cell r="B24">
            <v>70.18078355824863</v>
          </cell>
        </row>
        <row r="25">
          <cell r="A25" t="str">
            <v>Neuenbürg</v>
          </cell>
          <cell r="B25">
            <v>70.93052822476294</v>
          </cell>
        </row>
        <row r="26">
          <cell r="A26" t="str">
            <v>Schw. Hall</v>
          </cell>
          <cell r="B26">
            <v>71.29605793332311</v>
          </cell>
        </row>
        <row r="27">
          <cell r="A27" t="str">
            <v>Reutlingen</v>
          </cell>
          <cell r="B27">
            <v>71.3000577285494</v>
          </cell>
        </row>
        <row r="28">
          <cell r="A28" t="str">
            <v>Balingen</v>
          </cell>
          <cell r="B28">
            <v>71.31916131562687</v>
          </cell>
        </row>
        <row r="29">
          <cell r="A29" t="str">
            <v>Ludwigsburg</v>
          </cell>
          <cell r="B29">
            <v>71.45468254948676</v>
          </cell>
        </row>
        <row r="30">
          <cell r="A30" t="str">
            <v>Crailsheim</v>
          </cell>
          <cell r="B30">
            <v>71.60554494138636</v>
          </cell>
        </row>
        <row r="31">
          <cell r="A31" t="str">
            <v>Aalen</v>
          </cell>
          <cell r="B31">
            <v>71.61130191305564</v>
          </cell>
        </row>
        <row r="32">
          <cell r="A32" t="str">
            <v>Brackenheim</v>
          </cell>
          <cell r="B32">
            <v>71.81292088810694</v>
          </cell>
        </row>
        <row r="33">
          <cell r="A33" t="str">
            <v>Waiblingen</v>
          </cell>
          <cell r="B33">
            <v>72.41946390993584</v>
          </cell>
        </row>
        <row r="34">
          <cell r="A34" t="str">
            <v>Sulz</v>
          </cell>
          <cell r="B34">
            <v>72.84474863625286</v>
          </cell>
        </row>
        <row r="35">
          <cell r="A35" t="str">
            <v>Münsingen</v>
          </cell>
          <cell r="B35">
            <v>72.99282353966588</v>
          </cell>
        </row>
        <row r="36">
          <cell r="A36" t="str">
            <v>Freudenstadt</v>
          </cell>
          <cell r="B36">
            <v>73.51413788745978</v>
          </cell>
        </row>
        <row r="37">
          <cell r="A37" t="str">
            <v>Heidenheim</v>
          </cell>
          <cell r="B37">
            <v>74.14669926489226</v>
          </cell>
        </row>
        <row r="38">
          <cell r="A38" t="str">
            <v>Calw</v>
          </cell>
          <cell r="B38">
            <v>74.95784159938444</v>
          </cell>
        </row>
        <row r="39">
          <cell r="A39" t="str">
            <v>Geislingen</v>
          </cell>
          <cell r="B39">
            <v>75.83960495124445</v>
          </cell>
        </row>
        <row r="40">
          <cell r="A40" t="str">
            <v>Nagold</v>
          </cell>
          <cell r="B40">
            <v>76.28431516438184</v>
          </cell>
        </row>
        <row r="41">
          <cell r="A41" t="str">
            <v>Tübingen</v>
          </cell>
          <cell r="B41">
            <v>76.57876179495959</v>
          </cell>
        </row>
        <row r="42">
          <cell r="A42" t="str">
            <v>Blaufelden</v>
          </cell>
          <cell r="B42">
            <v>77.07107112796729</v>
          </cell>
        </row>
        <row r="43">
          <cell r="A43" t="str">
            <v>Heilbronn</v>
          </cell>
          <cell r="B43">
            <v>79.10114316883869</v>
          </cell>
        </row>
        <row r="44">
          <cell r="A44" t="str">
            <v>Esslingen</v>
          </cell>
          <cell r="B44">
            <v>80.87926937977858</v>
          </cell>
        </row>
        <row r="45">
          <cell r="A45" t="str">
            <v>Künzelsau</v>
          </cell>
          <cell r="B45">
            <v>80.88589951587463</v>
          </cell>
        </row>
        <row r="46">
          <cell r="A46" t="str">
            <v>Degerloch</v>
          </cell>
          <cell r="B46">
            <v>86.0487821029125</v>
          </cell>
        </row>
        <row r="47">
          <cell r="A47" t="str">
            <v>Zuffenhausen</v>
          </cell>
          <cell r="B47">
            <v>87.13344896679455</v>
          </cell>
        </row>
        <row r="48">
          <cell r="A48" t="str">
            <v>Ulm</v>
          </cell>
          <cell r="B48">
            <v>89.11694756212545</v>
          </cell>
        </row>
        <row r="49">
          <cell r="A49" t="str">
            <v>Weikersheim</v>
          </cell>
          <cell r="B49">
            <v>93.5650135328132</v>
          </cell>
        </row>
        <row r="50">
          <cell r="A50" t="str">
            <v>Bad Cannstatt</v>
          </cell>
          <cell r="B50">
            <v>100.25857102077475</v>
          </cell>
        </row>
        <row r="51">
          <cell r="A51" t="str">
            <v>Stuttgart</v>
          </cell>
          <cell r="B51">
            <v>172.4533578490691</v>
          </cell>
        </row>
      </sheetData>
      <sheetData sheetId="5">
        <row r="3">
          <cell r="B3">
            <v>171531800</v>
          </cell>
        </row>
        <row r="8">
          <cell r="F8">
            <v>20</v>
          </cell>
          <cell r="G8">
            <v>54.68828009497248</v>
          </cell>
        </row>
        <row r="11">
          <cell r="D11">
            <v>120000.00000068854</v>
          </cell>
        </row>
        <row r="14">
          <cell r="E14">
            <v>17000.0000000634</v>
          </cell>
        </row>
        <row r="17">
          <cell r="D17">
            <v>3511241.0399491917</v>
          </cell>
        </row>
        <row r="20">
          <cell r="D20">
            <v>499999.9999761973</v>
          </cell>
        </row>
        <row r="23">
          <cell r="D23">
            <v>499999.9999761973</v>
          </cell>
        </row>
        <row r="26">
          <cell r="D26">
            <v>300000.0000002925</v>
          </cell>
        </row>
        <row r="29">
          <cell r="D29">
            <v>300000.0000367279</v>
          </cell>
        </row>
        <row r="32">
          <cell r="E32">
            <v>1500000</v>
          </cell>
        </row>
      </sheetData>
      <sheetData sheetId="6">
        <row r="4">
          <cell r="I4">
            <v>26</v>
          </cell>
        </row>
        <row r="5">
          <cell r="I5">
            <v>25.5</v>
          </cell>
        </row>
        <row r="6">
          <cell r="I6">
            <v>21.75</v>
          </cell>
        </row>
        <row r="7">
          <cell r="I7">
            <v>28.25</v>
          </cell>
        </row>
        <row r="8">
          <cell r="I8">
            <v>41.5</v>
          </cell>
        </row>
        <row r="9">
          <cell r="I9">
            <v>22</v>
          </cell>
        </row>
        <row r="10">
          <cell r="I10">
            <v>23.75</v>
          </cell>
        </row>
        <row r="11">
          <cell r="I11">
            <v>26.5</v>
          </cell>
        </row>
        <row r="12">
          <cell r="I12">
            <v>28</v>
          </cell>
        </row>
        <row r="13">
          <cell r="I13">
            <v>33</v>
          </cell>
        </row>
        <row r="14">
          <cell r="I14">
            <v>31</v>
          </cell>
        </row>
        <row r="15">
          <cell r="I15">
            <v>25</v>
          </cell>
        </row>
        <row r="16">
          <cell r="I16">
            <v>38.25</v>
          </cell>
        </row>
        <row r="17">
          <cell r="I17">
            <v>30</v>
          </cell>
        </row>
        <row r="18">
          <cell r="I18">
            <v>24.5</v>
          </cell>
        </row>
        <row r="19">
          <cell r="I19">
            <v>17</v>
          </cell>
        </row>
        <row r="20">
          <cell r="I20">
            <v>35</v>
          </cell>
        </row>
        <row r="21">
          <cell r="I21">
            <v>40.75</v>
          </cell>
        </row>
        <row r="22">
          <cell r="I22">
            <v>17</v>
          </cell>
        </row>
        <row r="23">
          <cell r="I23">
            <v>25.5</v>
          </cell>
        </row>
        <row r="24">
          <cell r="I24">
            <v>39.25</v>
          </cell>
        </row>
        <row r="25">
          <cell r="I25">
            <v>35.25</v>
          </cell>
        </row>
        <row r="26">
          <cell r="I26">
            <v>32.75</v>
          </cell>
        </row>
        <row r="27">
          <cell r="I27">
            <v>26</v>
          </cell>
        </row>
        <row r="28">
          <cell r="I28">
            <v>25.75</v>
          </cell>
        </row>
        <row r="29">
          <cell r="I29">
            <v>17.5</v>
          </cell>
        </row>
        <row r="30">
          <cell r="I30">
            <v>25</v>
          </cell>
        </row>
        <row r="31">
          <cell r="I31">
            <v>34</v>
          </cell>
        </row>
        <row r="32">
          <cell r="I32">
            <v>22.5</v>
          </cell>
        </row>
        <row r="33">
          <cell r="I33">
            <v>27.25</v>
          </cell>
        </row>
        <row r="34">
          <cell r="I34">
            <v>27.5</v>
          </cell>
        </row>
        <row r="35">
          <cell r="I35">
            <v>33</v>
          </cell>
        </row>
        <row r="36">
          <cell r="I36">
            <v>29.5</v>
          </cell>
        </row>
        <row r="37">
          <cell r="I37">
            <v>24.25</v>
          </cell>
        </row>
        <row r="38">
          <cell r="I38">
            <v>32.25</v>
          </cell>
        </row>
        <row r="39">
          <cell r="I39">
            <v>22.25</v>
          </cell>
        </row>
        <row r="40">
          <cell r="I40">
            <v>33.5</v>
          </cell>
        </row>
        <row r="41">
          <cell r="I41">
            <v>39.5</v>
          </cell>
        </row>
        <row r="42">
          <cell r="I42">
            <v>34.5</v>
          </cell>
        </row>
        <row r="43">
          <cell r="I43">
            <v>21.5</v>
          </cell>
        </row>
        <row r="44">
          <cell r="I44">
            <v>37.75</v>
          </cell>
        </row>
        <row r="45">
          <cell r="I45">
            <v>27.5</v>
          </cell>
        </row>
        <row r="46">
          <cell r="I46">
            <v>36.75</v>
          </cell>
        </row>
        <row r="47">
          <cell r="I47">
            <v>51</v>
          </cell>
        </row>
        <row r="48">
          <cell r="I48">
            <v>28</v>
          </cell>
        </row>
        <row r="49">
          <cell r="I49">
            <v>39.75</v>
          </cell>
        </row>
        <row r="50">
          <cell r="I50">
            <v>21</v>
          </cell>
        </row>
        <row r="51">
          <cell r="I51">
            <v>39.25</v>
          </cell>
        </row>
        <row r="52">
          <cell r="I52">
            <v>30</v>
          </cell>
        </row>
        <row r="53">
          <cell r="I53">
            <v>23.25</v>
          </cell>
        </row>
        <row r="54">
          <cell r="I54">
            <v>16.5</v>
          </cell>
        </row>
      </sheetData>
      <sheetData sheetId="7">
        <row r="4">
          <cell r="F4">
            <v>0.3333333333333333</v>
          </cell>
        </row>
        <row r="5">
          <cell r="G5">
            <v>0.06666666666666667</v>
          </cell>
        </row>
        <row r="6">
          <cell r="C6">
            <v>1</v>
          </cell>
          <cell r="G6">
            <v>0.13333333333333333</v>
          </cell>
        </row>
        <row r="8">
          <cell r="G8">
            <v>0.03333333333333333</v>
          </cell>
        </row>
        <row r="9">
          <cell r="G9">
            <v>0.03333333333333333</v>
          </cell>
        </row>
        <row r="18">
          <cell r="C18">
            <v>1</v>
          </cell>
        </row>
        <row r="20">
          <cell r="E20">
            <v>1</v>
          </cell>
        </row>
        <row r="25">
          <cell r="F25">
            <v>0.3333333333333333</v>
          </cell>
        </row>
        <row r="26">
          <cell r="D26">
            <v>1</v>
          </cell>
        </row>
        <row r="31">
          <cell r="E31">
            <v>1</v>
          </cell>
        </row>
        <row r="40">
          <cell r="F40">
            <v>1</v>
          </cell>
        </row>
        <row r="41">
          <cell r="D41">
            <v>1</v>
          </cell>
        </row>
        <row r="43">
          <cell r="F43">
            <v>0.3333333333333333</v>
          </cell>
        </row>
        <row r="45">
          <cell r="G45">
            <v>0.6666666666666666</v>
          </cell>
        </row>
        <row r="47">
          <cell r="E47">
            <v>1</v>
          </cell>
        </row>
        <row r="48">
          <cell r="E48">
            <v>0.5</v>
          </cell>
        </row>
        <row r="49">
          <cell r="D49">
            <v>1</v>
          </cell>
        </row>
        <row r="51">
          <cell r="G51">
            <v>0.06666666666666667</v>
          </cell>
        </row>
        <row r="54">
          <cell r="C5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62"/>
  <sheetViews>
    <sheetView tabSelected="1" workbookViewId="0" topLeftCell="A1">
      <pane xSplit="1" ySplit="6" topLeftCell="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5" sqref="X5"/>
    </sheetView>
  </sheetViews>
  <sheetFormatPr defaultColWidth="11.421875" defaultRowHeight="12.75"/>
  <cols>
    <col min="1" max="1" width="12.57421875" style="0" customWidth="1"/>
    <col min="2" max="2" width="14.00390625" style="0" customWidth="1"/>
    <col min="3" max="3" width="11.7109375" style="0" customWidth="1"/>
    <col min="4" max="4" width="11.00390625" style="0" customWidth="1"/>
    <col min="5" max="5" width="11.7109375" style="0" bestFit="1" customWidth="1"/>
    <col min="6" max="6" width="14.140625" style="0" customWidth="1"/>
    <col min="7" max="7" width="19.00390625" style="0" customWidth="1"/>
    <col min="8" max="8" width="13.8515625" style="0" customWidth="1"/>
    <col min="9" max="9" width="15.00390625" style="0" bestFit="1" customWidth="1"/>
    <col min="10" max="14" width="14.00390625" style="0" bestFit="1" customWidth="1"/>
    <col min="15" max="15" width="15.7109375" style="0" customWidth="1"/>
    <col min="16" max="16" width="11.7109375" style="0" bestFit="1" customWidth="1"/>
    <col min="17" max="17" width="14.140625" style="0" customWidth="1"/>
    <col min="18" max="18" width="17.140625" style="0" customWidth="1"/>
    <col min="19" max="19" width="16.7109375" style="0" customWidth="1"/>
    <col min="20" max="20" width="14.140625" style="2" customWidth="1"/>
    <col min="21" max="21" width="14.421875" style="2" customWidth="1"/>
    <col min="22" max="22" width="14.8515625" style="2" customWidth="1"/>
    <col min="23" max="23" width="15.8515625" style="2" customWidth="1"/>
    <col min="24" max="24" width="14.7109375" style="2" customWidth="1"/>
  </cols>
  <sheetData>
    <row r="1" ht="15.75">
      <c r="B1" s="1" t="s">
        <v>0</v>
      </c>
    </row>
    <row r="2" spans="2:24" ht="15.75" thickBot="1">
      <c r="B2" s="3" t="s">
        <v>1</v>
      </c>
      <c r="X2" s="4"/>
    </row>
    <row r="3" spans="2:24" ht="13.5" thickBot="1">
      <c r="B3" s="5" t="s">
        <v>2</v>
      </c>
      <c r="C3" s="6"/>
      <c r="D3" s="7"/>
      <c r="F3" s="8" t="s">
        <v>3</v>
      </c>
      <c r="G3" s="9"/>
      <c r="H3" s="9"/>
      <c r="I3" s="9"/>
      <c r="J3" s="9"/>
      <c r="K3" s="9"/>
      <c r="L3" s="9"/>
      <c r="M3" s="9"/>
      <c r="N3" s="9"/>
      <c r="O3" s="10"/>
      <c r="P3" s="91" t="s">
        <v>4</v>
      </c>
      <c r="Q3" s="92"/>
      <c r="R3" s="11" t="s">
        <v>5</v>
      </c>
      <c r="S3" s="12"/>
      <c r="T3" s="91" t="s">
        <v>6</v>
      </c>
      <c r="U3" s="12"/>
      <c r="V3" s="93" t="s">
        <v>7</v>
      </c>
      <c r="W3" s="92"/>
      <c r="X3"/>
    </row>
    <row r="4" spans="1:24" ht="13.5" thickBot="1">
      <c r="A4" s="13" t="s">
        <v>8</v>
      </c>
      <c r="B4" s="14" t="s">
        <v>9</v>
      </c>
      <c r="C4" s="14" t="s">
        <v>10</v>
      </c>
      <c r="D4" s="14" t="s">
        <v>11</v>
      </c>
      <c r="E4" s="13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6" t="s">
        <v>23</v>
      </c>
      <c r="Q4" s="16" t="s">
        <v>24</v>
      </c>
      <c r="R4" s="16" t="s">
        <v>25</v>
      </c>
      <c r="S4" s="17" t="s">
        <v>26</v>
      </c>
      <c r="T4" s="14" t="s">
        <v>27</v>
      </c>
      <c r="U4" s="14" t="s">
        <v>28</v>
      </c>
      <c r="V4" s="16" t="s">
        <v>29</v>
      </c>
      <c r="W4" s="16" t="s">
        <v>30</v>
      </c>
      <c r="X4" s="18" t="s">
        <v>31</v>
      </c>
    </row>
    <row r="5" spans="1:24" ht="89.25">
      <c r="A5" s="19" t="s">
        <v>32</v>
      </c>
      <c r="B5" s="20" t="s">
        <v>33</v>
      </c>
      <c r="C5" s="20" t="s">
        <v>34</v>
      </c>
      <c r="D5" s="21" t="s">
        <v>35</v>
      </c>
      <c r="E5" s="22" t="s">
        <v>36</v>
      </c>
      <c r="F5" s="23" t="s">
        <v>37</v>
      </c>
      <c r="G5" s="23" t="s">
        <v>38</v>
      </c>
      <c r="H5" s="23" t="s">
        <v>101</v>
      </c>
      <c r="I5" s="24" t="s">
        <v>102</v>
      </c>
      <c r="J5" s="23" t="s">
        <v>39</v>
      </c>
      <c r="K5" s="23" t="s">
        <v>40</v>
      </c>
      <c r="L5" s="23" t="s">
        <v>103</v>
      </c>
      <c r="M5" s="23" t="s">
        <v>104</v>
      </c>
      <c r="N5" s="23" t="s">
        <v>105</v>
      </c>
      <c r="O5" s="23" t="s">
        <v>41</v>
      </c>
      <c r="P5" s="20" t="s">
        <v>42</v>
      </c>
      <c r="Q5" s="20" t="s">
        <v>43</v>
      </c>
      <c r="R5" s="20" t="s">
        <v>44</v>
      </c>
      <c r="S5" s="21" t="s">
        <v>45</v>
      </c>
      <c r="T5" s="94" t="s">
        <v>106</v>
      </c>
      <c r="U5" s="94" t="s">
        <v>107</v>
      </c>
      <c r="V5" s="94" t="s">
        <v>46</v>
      </c>
      <c r="W5" s="95" t="s">
        <v>47</v>
      </c>
      <c r="X5" s="25" t="s">
        <v>48</v>
      </c>
    </row>
    <row r="6" spans="1:24" ht="13.5" thickBot="1">
      <c r="A6" s="26"/>
      <c r="B6" s="27"/>
      <c r="C6" s="27"/>
      <c r="D6" s="28"/>
      <c r="E6" s="29"/>
      <c r="F6" s="30">
        <f>'[1]Kriterien - prozentuale Anteile'!$D$11</f>
        <v>120000.00000068854</v>
      </c>
      <c r="G6" s="31">
        <f>'[1]Kriterien - prozentuale Anteile'!G8</f>
        <v>54.68828009497248</v>
      </c>
      <c r="H6" s="30">
        <f>'[1]Kriterien - prozentuale Anteile'!F8</f>
        <v>20</v>
      </c>
      <c r="I6" s="32">
        <f>'[1]Kriterien - prozentuale Anteile'!E14</f>
        <v>17000.0000000634</v>
      </c>
      <c r="J6" s="30">
        <f>'[1]Kriterien - prozentuale Anteile'!D17</f>
        <v>3511241.0399491917</v>
      </c>
      <c r="K6" s="30">
        <f>'[1]Kriterien - prozentuale Anteile'!D20</f>
        <v>499999.9999761973</v>
      </c>
      <c r="L6" s="30">
        <f>'[1]Kriterien - prozentuale Anteile'!D23</f>
        <v>499999.9999761973</v>
      </c>
      <c r="M6" s="30">
        <f>'[1]Kriterien - prozentuale Anteile'!D26</f>
        <v>300000.0000002925</v>
      </c>
      <c r="N6" s="30">
        <f>'[1]Kriterien - prozentuale Anteile'!D29</f>
        <v>300000.0000367279</v>
      </c>
      <c r="O6" s="30"/>
      <c r="P6" s="96">
        <f>'[1]Kriterien - prozentuale Anteile'!E32</f>
        <v>1500000</v>
      </c>
      <c r="Q6" s="33"/>
      <c r="R6" s="33"/>
      <c r="S6" s="34"/>
      <c r="T6" s="33"/>
      <c r="U6" s="33"/>
      <c r="V6" s="33"/>
      <c r="W6" s="33"/>
      <c r="X6" s="35"/>
    </row>
    <row r="7" spans="1:24" ht="12.75">
      <c r="A7" s="36" t="s">
        <v>49</v>
      </c>
      <c r="B7" s="37">
        <v>3055240.82</v>
      </c>
      <c r="C7" s="38">
        <v>42826</v>
      </c>
      <c r="D7" s="39">
        <f aca="true" t="shared" si="0" ref="D7:D38">B7/C7</f>
        <v>71.34079344323541</v>
      </c>
      <c r="E7" s="40">
        <v>42706</v>
      </c>
      <c r="F7" s="41">
        <f aca="true" t="shared" si="1" ref="F7:F38">$F$6</f>
        <v>120000.00000068854</v>
      </c>
      <c r="G7" s="41">
        <f aca="true" t="shared" si="2" ref="G7:G38">$G$6*E7</f>
        <v>2335517.6897358946</v>
      </c>
      <c r="H7" s="41">
        <f aca="true" t="shared" si="3" ref="H7:H38">IF(E7&lt;60001,0,(E7-60000)*$H$6)</f>
        <v>0</v>
      </c>
      <c r="I7" s="42">
        <f>$I$6*'[1]KiGem - modifizierte Zahl'!I4</f>
        <v>442000.0000016484</v>
      </c>
      <c r="J7" s="41">
        <f aca="true" t="shared" si="4" ref="J7:J38">IF(A7="Stuttgart",$J$6,0)</f>
        <v>0</v>
      </c>
      <c r="K7" s="41">
        <f>$K$6*'[1]Zuschläge'!C4</f>
        <v>0</v>
      </c>
      <c r="L7" s="41">
        <f>$L$6*'[1]Zuschläge'!D4</f>
        <v>0</v>
      </c>
      <c r="M7" s="41">
        <f>$M$6*'[1]Zuschläge'!E4</f>
        <v>0</v>
      </c>
      <c r="N7" s="41">
        <f>$N$6*'[1]Zuschläge'!F4</f>
        <v>100000.00001224264</v>
      </c>
      <c r="O7" s="37">
        <f aca="true" t="shared" si="5" ref="O7:O38">SUM(F7:N7)</f>
        <v>2997517.6897504744</v>
      </c>
      <c r="P7" s="43">
        <f>$P$6*'[1]Zuschläge'!G4</f>
        <v>0</v>
      </c>
      <c r="Q7" s="44">
        <f aca="true" t="shared" si="6" ref="Q7:Q38">SUM(O7:P7)</f>
        <v>2997517.6897504744</v>
      </c>
      <c r="R7" s="45">
        <f aca="true" t="shared" si="7" ref="R7:R38">E7/C7*B7</f>
        <v>3046679.9247868117</v>
      </c>
      <c r="S7" s="46">
        <f>R7/$R$58*'[1]Kriterien - prozentuale Anteile'!$B$3</f>
        <v>3061765.9117065365</v>
      </c>
      <c r="T7" s="43">
        <f aca="true" t="shared" si="8" ref="T7:T38">0.945*S7</f>
        <v>2893368.786562677</v>
      </c>
      <c r="U7" s="44">
        <f aca="true" t="shared" si="9" ref="U7:U38">0.055*Q7</f>
        <v>164863.47293627608</v>
      </c>
      <c r="V7" s="37">
        <f aca="true" t="shared" si="10" ref="V7:V38">T7+U7</f>
        <v>3058232.259498953</v>
      </c>
      <c r="W7" s="47">
        <f>V7/$V$58*'[1]Kriterien - prozentuale Anteile'!$B$3</f>
        <v>3058232.2594989543</v>
      </c>
      <c r="X7" s="48" t="s">
        <v>49</v>
      </c>
    </row>
    <row r="8" spans="1:24" ht="12.75">
      <c r="A8" s="49" t="s">
        <v>50</v>
      </c>
      <c r="B8" s="50">
        <v>3455417.31</v>
      </c>
      <c r="C8" s="51">
        <v>49390</v>
      </c>
      <c r="D8" s="52">
        <f t="shared" si="0"/>
        <v>69.96188115003037</v>
      </c>
      <c r="E8" s="53">
        <v>49130</v>
      </c>
      <c r="F8" s="54">
        <f t="shared" si="1"/>
        <v>120000.00000068854</v>
      </c>
      <c r="G8" s="54">
        <f t="shared" si="2"/>
        <v>2686835.2010659976</v>
      </c>
      <c r="H8" s="54">
        <f t="shared" si="3"/>
        <v>0</v>
      </c>
      <c r="I8" s="55">
        <f>$I$6*'[1]KiGem - modifizierte Zahl'!I5</f>
        <v>433500.00000161666</v>
      </c>
      <c r="J8" s="54">
        <f t="shared" si="4"/>
        <v>0</v>
      </c>
      <c r="K8" s="54">
        <f>$K$6*'[1]Zuschläge'!C5</f>
        <v>0</v>
      </c>
      <c r="L8" s="54">
        <f>$L$6*'[1]Zuschläge'!D5</f>
        <v>0</v>
      </c>
      <c r="M8" s="54">
        <f>$M$6*'[1]Zuschläge'!E5</f>
        <v>0</v>
      </c>
      <c r="N8" s="54">
        <f>$N$6*'[1]Zuschläge'!F5</f>
        <v>0</v>
      </c>
      <c r="O8" s="50">
        <f t="shared" si="5"/>
        <v>3240335.201068303</v>
      </c>
      <c r="P8" s="56">
        <f>$P$6*'[1]Zuschläge'!G5</f>
        <v>100000</v>
      </c>
      <c r="Q8" s="57">
        <f t="shared" si="6"/>
        <v>3340335.201068303</v>
      </c>
      <c r="R8" s="58">
        <f t="shared" si="7"/>
        <v>3437227.2209009924</v>
      </c>
      <c r="S8" s="57">
        <f>R8/$R$58*'[1]Kriterien - prozentuale Anteile'!$B$3</f>
        <v>3454247.047786241</v>
      </c>
      <c r="T8" s="56">
        <f t="shared" si="8"/>
        <v>3264263.4601579974</v>
      </c>
      <c r="U8" s="57">
        <f t="shared" si="9"/>
        <v>183718.43605875666</v>
      </c>
      <c r="V8" s="50">
        <f t="shared" si="10"/>
        <v>3447981.896216754</v>
      </c>
      <c r="W8" s="59">
        <f>V8/$V$58*'[1]Kriterien - prozentuale Anteile'!$B$3</f>
        <v>3447981.8962167553</v>
      </c>
      <c r="X8" s="60" t="s">
        <v>50</v>
      </c>
    </row>
    <row r="9" spans="1:24" ht="12.75">
      <c r="A9" s="49" t="s">
        <v>51</v>
      </c>
      <c r="B9" s="50">
        <v>3794105.72</v>
      </c>
      <c r="C9" s="51">
        <v>37736</v>
      </c>
      <c r="D9" s="52">
        <f t="shared" si="0"/>
        <v>100.54339940640239</v>
      </c>
      <c r="E9" s="53">
        <v>37038</v>
      </c>
      <c r="F9" s="54">
        <f t="shared" si="1"/>
        <v>120000.00000068854</v>
      </c>
      <c r="G9" s="54">
        <f t="shared" si="2"/>
        <v>2025544.5181575906</v>
      </c>
      <c r="H9" s="54">
        <f t="shared" si="3"/>
        <v>0</v>
      </c>
      <c r="I9" s="55">
        <f>$I$6*'[1]KiGem - modifizierte Zahl'!I6</f>
        <v>369750.00000137894</v>
      </c>
      <c r="J9" s="54">
        <f t="shared" si="4"/>
        <v>0</v>
      </c>
      <c r="K9" s="54">
        <f>$K$6*'[1]Zuschläge'!C6</f>
        <v>499999.9999761973</v>
      </c>
      <c r="L9" s="54">
        <f>$L$6*'[1]Zuschläge'!D6</f>
        <v>0</v>
      </c>
      <c r="M9" s="54">
        <f>$M$6*'[1]Zuschläge'!E6</f>
        <v>0</v>
      </c>
      <c r="N9" s="54">
        <f>$N$6*'[1]Zuschläge'!F6</f>
        <v>0</v>
      </c>
      <c r="O9" s="50">
        <f t="shared" si="5"/>
        <v>3015294.5181358554</v>
      </c>
      <c r="P9" s="56">
        <f>$P$6*'[1]Zuschläge'!G6</f>
        <v>200000</v>
      </c>
      <c r="Q9" s="57">
        <f t="shared" si="6"/>
        <v>3215294.5181358554</v>
      </c>
      <c r="R9" s="58">
        <f t="shared" si="7"/>
        <v>3723926.4272143315</v>
      </c>
      <c r="S9" s="57">
        <f>R9/$R$58*'[1]Kriterien - prozentuale Anteile'!$B$3</f>
        <v>3742365.878275113</v>
      </c>
      <c r="T9" s="56">
        <f t="shared" si="8"/>
        <v>3536535.754969982</v>
      </c>
      <c r="U9" s="57">
        <f t="shared" si="9"/>
        <v>176841.19849747204</v>
      </c>
      <c r="V9" s="50">
        <f t="shared" si="10"/>
        <v>3713376.953467454</v>
      </c>
      <c r="W9" s="59">
        <f>V9/$V$58*'[1]Kriterien - prozentuale Anteile'!$B$3</f>
        <v>3713376.953467455</v>
      </c>
      <c r="X9" s="60" t="s">
        <v>51</v>
      </c>
    </row>
    <row r="10" spans="1:24" ht="12.75">
      <c r="A10" s="49" t="s">
        <v>52</v>
      </c>
      <c r="B10" s="50">
        <v>2883597.69</v>
      </c>
      <c r="C10" s="51">
        <v>42372</v>
      </c>
      <c r="D10" s="52">
        <f t="shared" si="0"/>
        <v>68.05432101387709</v>
      </c>
      <c r="E10" s="53">
        <v>42068</v>
      </c>
      <c r="F10" s="54">
        <f t="shared" si="1"/>
        <v>120000.00000068854</v>
      </c>
      <c r="G10" s="54">
        <f t="shared" si="2"/>
        <v>2300626.567035302</v>
      </c>
      <c r="H10" s="54">
        <f t="shared" si="3"/>
        <v>0</v>
      </c>
      <c r="I10" s="55">
        <f>$I$6*'[1]KiGem - modifizierte Zahl'!I7</f>
        <v>480250.00000179105</v>
      </c>
      <c r="J10" s="54">
        <f t="shared" si="4"/>
        <v>0</v>
      </c>
      <c r="K10" s="54">
        <f>$K$6*'[1]Zuschläge'!C7</f>
        <v>0</v>
      </c>
      <c r="L10" s="54">
        <f>$L$6*'[1]Zuschläge'!D7</f>
        <v>0</v>
      </c>
      <c r="M10" s="54">
        <f>$M$6*'[1]Zuschläge'!E7</f>
        <v>0</v>
      </c>
      <c r="N10" s="54">
        <f>$N$6*'[1]Zuschläge'!F7</f>
        <v>0</v>
      </c>
      <c r="O10" s="50">
        <f t="shared" si="5"/>
        <v>2900876.5670377817</v>
      </c>
      <c r="P10" s="56">
        <f>$P$6*'[1]Zuschläge'!G7</f>
        <v>0</v>
      </c>
      <c r="Q10" s="57">
        <f t="shared" si="6"/>
        <v>2900876.5670377817</v>
      </c>
      <c r="R10" s="58">
        <f t="shared" si="7"/>
        <v>2862909.1764117815</v>
      </c>
      <c r="S10" s="57">
        <f>R10/$R$58*'[1]Kriterien - prozentuale Anteile'!$B$3</f>
        <v>2877085.201282766</v>
      </c>
      <c r="T10" s="56">
        <f t="shared" si="8"/>
        <v>2718845.515212214</v>
      </c>
      <c r="U10" s="57">
        <f t="shared" si="9"/>
        <v>159548.211187078</v>
      </c>
      <c r="V10" s="50">
        <f t="shared" si="10"/>
        <v>2878393.7263992922</v>
      </c>
      <c r="W10" s="59">
        <f>V10/$V$58*'[1]Kriterien - prozentuale Anteile'!$B$3</f>
        <v>2878393.7263992936</v>
      </c>
      <c r="X10" s="60" t="s">
        <v>52</v>
      </c>
    </row>
    <row r="11" spans="1:24" ht="12.75">
      <c r="A11" s="49" t="s">
        <v>53</v>
      </c>
      <c r="B11" s="50">
        <v>5152604.71</v>
      </c>
      <c r="C11" s="51">
        <v>72538</v>
      </c>
      <c r="D11" s="52">
        <f t="shared" si="0"/>
        <v>71.03317860983209</v>
      </c>
      <c r="E11" s="53">
        <v>72131</v>
      </c>
      <c r="F11" s="54">
        <f t="shared" si="1"/>
        <v>120000.00000068854</v>
      </c>
      <c r="G11" s="54">
        <f t="shared" si="2"/>
        <v>3944720.3315304597</v>
      </c>
      <c r="H11" s="54">
        <f t="shared" si="3"/>
        <v>242620</v>
      </c>
      <c r="I11" s="55">
        <f>$I$6*'[1]KiGem - modifizierte Zahl'!I8</f>
        <v>705500.0000026311</v>
      </c>
      <c r="J11" s="54">
        <f t="shared" si="4"/>
        <v>0</v>
      </c>
      <c r="K11" s="54">
        <f>$K$6*'[1]Zuschläge'!C8</f>
        <v>0</v>
      </c>
      <c r="L11" s="54">
        <f>$L$6*'[1]Zuschläge'!D8</f>
        <v>0</v>
      </c>
      <c r="M11" s="54">
        <f>$M$6*'[1]Zuschläge'!E8</f>
        <v>0</v>
      </c>
      <c r="N11" s="54">
        <f>$N$6*'[1]Zuschläge'!F8</f>
        <v>0</v>
      </c>
      <c r="O11" s="50">
        <f t="shared" si="5"/>
        <v>5012840.331533779</v>
      </c>
      <c r="P11" s="56">
        <f>$P$6*'[1]Zuschläge'!G8</f>
        <v>50000</v>
      </c>
      <c r="Q11" s="57">
        <f t="shared" si="6"/>
        <v>5062840.331533779</v>
      </c>
      <c r="R11" s="58">
        <f t="shared" si="7"/>
        <v>5123694.206305798</v>
      </c>
      <c r="S11" s="57">
        <f>R11/$R$58*'[1]Kriterien - prozentuale Anteile'!$B$3</f>
        <v>5149064.7689133575</v>
      </c>
      <c r="T11" s="56">
        <f t="shared" si="8"/>
        <v>4865866.206623123</v>
      </c>
      <c r="U11" s="57">
        <f t="shared" si="9"/>
        <v>278456.2182343579</v>
      </c>
      <c r="V11" s="50">
        <f t="shared" si="10"/>
        <v>5144322.42485748</v>
      </c>
      <c r="W11" s="59">
        <f>V11/$V$58*'[1]Kriterien - prozentuale Anteile'!$B$3</f>
        <v>5144322.424857482</v>
      </c>
      <c r="X11" s="60" t="s">
        <v>53</v>
      </c>
    </row>
    <row r="12" spans="1:24" ht="12.75">
      <c r="A12" s="49" t="s">
        <v>54</v>
      </c>
      <c r="B12" s="50">
        <v>3342875.37</v>
      </c>
      <c r="C12" s="51">
        <v>50451</v>
      </c>
      <c r="D12" s="52">
        <f t="shared" si="0"/>
        <v>66.2598436106321</v>
      </c>
      <c r="E12" s="53">
        <v>50317</v>
      </c>
      <c r="F12" s="54">
        <f t="shared" si="1"/>
        <v>120000.00000068854</v>
      </c>
      <c r="G12" s="54">
        <f t="shared" si="2"/>
        <v>2751750.1895387303</v>
      </c>
      <c r="H12" s="54">
        <f t="shared" si="3"/>
        <v>0</v>
      </c>
      <c r="I12" s="55">
        <f>$I$6*'[1]KiGem - modifizierte Zahl'!I9</f>
        <v>374000.0000013948</v>
      </c>
      <c r="J12" s="54">
        <f t="shared" si="4"/>
        <v>0</v>
      </c>
      <c r="K12" s="54">
        <f>$K$6*'[1]Zuschläge'!C9</f>
        <v>0</v>
      </c>
      <c r="L12" s="54">
        <f>$L$6*'[1]Zuschläge'!D9</f>
        <v>0</v>
      </c>
      <c r="M12" s="54">
        <f>$M$6*'[1]Zuschläge'!E9</f>
        <v>0</v>
      </c>
      <c r="N12" s="54">
        <f>$N$6*'[1]Zuschläge'!F9</f>
        <v>0</v>
      </c>
      <c r="O12" s="50">
        <f t="shared" si="5"/>
        <v>3245750.1895408137</v>
      </c>
      <c r="P12" s="56">
        <f>$P$6*'[1]Zuschläge'!G9</f>
        <v>50000</v>
      </c>
      <c r="Q12" s="57">
        <f t="shared" si="6"/>
        <v>3295750.1895408137</v>
      </c>
      <c r="R12" s="58">
        <f t="shared" si="7"/>
        <v>3333996.550956175</v>
      </c>
      <c r="S12" s="57">
        <f>R12/$R$58*'[1]Kriterien - prozentuale Anteile'!$B$3</f>
        <v>3350505.2192770364</v>
      </c>
      <c r="T12" s="56">
        <f t="shared" si="8"/>
        <v>3166227.4322167994</v>
      </c>
      <c r="U12" s="57">
        <f t="shared" si="9"/>
        <v>181266.26042474475</v>
      </c>
      <c r="V12" s="50">
        <f t="shared" si="10"/>
        <v>3347493.692641544</v>
      </c>
      <c r="W12" s="59">
        <f>V12/$V$58*'[1]Kriterien - prozentuale Anteile'!$B$3</f>
        <v>3347493.692641545</v>
      </c>
      <c r="X12" s="60" t="s">
        <v>54</v>
      </c>
    </row>
    <row r="13" spans="1:24" ht="12.75">
      <c r="A13" s="49" t="s">
        <v>55</v>
      </c>
      <c r="B13" s="50">
        <v>3048216.37</v>
      </c>
      <c r="C13" s="51">
        <v>49862</v>
      </c>
      <c r="D13" s="52">
        <f t="shared" si="0"/>
        <v>61.133054630780954</v>
      </c>
      <c r="E13" s="53">
        <v>49665</v>
      </c>
      <c r="F13" s="54">
        <f t="shared" si="1"/>
        <v>120000.00000068854</v>
      </c>
      <c r="G13" s="54">
        <f t="shared" si="2"/>
        <v>2716093.430916808</v>
      </c>
      <c r="H13" s="54">
        <f t="shared" si="3"/>
        <v>0</v>
      </c>
      <c r="I13" s="55">
        <f>$I$6*'[1]KiGem - modifizierte Zahl'!I10</f>
        <v>403750.0000015057</v>
      </c>
      <c r="J13" s="54">
        <f t="shared" si="4"/>
        <v>0</v>
      </c>
      <c r="K13" s="54">
        <f>$K$6*'[1]Zuschläge'!C10</f>
        <v>0</v>
      </c>
      <c r="L13" s="54">
        <f>$L$6*'[1]Zuschläge'!D10</f>
        <v>0</v>
      </c>
      <c r="M13" s="54">
        <f>$M$6*'[1]Zuschläge'!E10</f>
        <v>0</v>
      </c>
      <c r="N13" s="54">
        <f>$N$6*'[1]Zuschläge'!F10</f>
        <v>0</v>
      </c>
      <c r="O13" s="50">
        <f t="shared" si="5"/>
        <v>3239843.4309190027</v>
      </c>
      <c r="P13" s="56">
        <f>$P$6*'[1]Zuschläge'!G10</f>
        <v>0</v>
      </c>
      <c r="Q13" s="57">
        <f t="shared" si="6"/>
        <v>3239843.4309190027</v>
      </c>
      <c r="R13" s="58">
        <f t="shared" si="7"/>
        <v>3036173.158237736</v>
      </c>
      <c r="S13" s="57">
        <f>R13/$R$58*'[1]Kriterien - prozentuale Anteile'!$B$3</f>
        <v>3051207.1196914976</v>
      </c>
      <c r="T13" s="56">
        <f t="shared" si="8"/>
        <v>2883390.728108465</v>
      </c>
      <c r="U13" s="57">
        <f t="shared" si="9"/>
        <v>178191.38870054515</v>
      </c>
      <c r="V13" s="50">
        <f t="shared" si="10"/>
        <v>3061582.1168090105</v>
      </c>
      <c r="W13" s="59">
        <f>V13/$V$58*'[1]Kriterien - prozentuale Anteile'!$B$3</f>
        <v>3061582.1168090114</v>
      </c>
      <c r="X13" s="60" t="s">
        <v>55</v>
      </c>
    </row>
    <row r="14" spans="1:24" ht="12.75">
      <c r="A14" s="49" t="s">
        <v>56</v>
      </c>
      <c r="B14" s="50">
        <v>2862685.83</v>
      </c>
      <c r="C14" s="51">
        <v>45877</v>
      </c>
      <c r="D14" s="52">
        <f t="shared" si="0"/>
        <v>62.39915055474421</v>
      </c>
      <c r="E14" s="53">
        <v>46329</v>
      </c>
      <c r="F14" s="54">
        <f t="shared" si="1"/>
        <v>120000.00000068854</v>
      </c>
      <c r="G14" s="54">
        <f t="shared" si="2"/>
        <v>2533653.32851998</v>
      </c>
      <c r="H14" s="54">
        <f t="shared" si="3"/>
        <v>0</v>
      </c>
      <c r="I14" s="55">
        <f>$I$6*'[1]KiGem - modifizierte Zahl'!I11</f>
        <v>450500.00000168005</v>
      </c>
      <c r="J14" s="54">
        <f t="shared" si="4"/>
        <v>0</v>
      </c>
      <c r="K14" s="54">
        <f>$K$6*'[1]Zuschläge'!C11</f>
        <v>0</v>
      </c>
      <c r="L14" s="54">
        <f>$L$6*'[1]Zuschläge'!D11</f>
        <v>0</v>
      </c>
      <c r="M14" s="54">
        <f>$M$6*'[1]Zuschläge'!E11</f>
        <v>0</v>
      </c>
      <c r="N14" s="54">
        <f>$N$6*'[1]Zuschläge'!F11</f>
        <v>0</v>
      </c>
      <c r="O14" s="50">
        <f t="shared" si="5"/>
        <v>3104153.328522349</v>
      </c>
      <c r="P14" s="56">
        <f>$P$6*'[1]Zuschläge'!G11</f>
        <v>0</v>
      </c>
      <c r="Q14" s="57">
        <f t="shared" si="6"/>
        <v>3104153.328522349</v>
      </c>
      <c r="R14" s="58">
        <f t="shared" si="7"/>
        <v>2890890.246050745</v>
      </c>
      <c r="S14" s="57">
        <f>R14/$R$58*'[1]Kriterien - prozentuale Anteile'!$B$3</f>
        <v>2905204.8224141723</v>
      </c>
      <c r="T14" s="56">
        <f t="shared" si="8"/>
        <v>2745418.557181393</v>
      </c>
      <c r="U14" s="57">
        <f t="shared" si="9"/>
        <v>170728.43306872918</v>
      </c>
      <c r="V14" s="50">
        <f t="shared" si="10"/>
        <v>2916146.990250122</v>
      </c>
      <c r="W14" s="59">
        <f>V14/$V$58*'[1]Kriterien - prozentuale Anteile'!$B$3</f>
        <v>2916146.9902501227</v>
      </c>
      <c r="X14" s="60" t="s">
        <v>56</v>
      </c>
    </row>
    <row r="15" spans="1:24" ht="12.75">
      <c r="A15" s="49" t="s">
        <v>57</v>
      </c>
      <c r="B15" s="50">
        <v>1839657.9</v>
      </c>
      <c r="C15" s="51">
        <v>26943</v>
      </c>
      <c r="D15" s="52">
        <f t="shared" si="0"/>
        <v>68.27962364992761</v>
      </c>
      <c r="E15" s="53">
        <v>26988</v>
      </c>
      <c r="F15" s="54">
        <f t="shared" si="1"/>
        <v>120000.00000068854</v>
      </c>
      <c r="G15" s="54">
        <f t="shared" si="2"/>
        <v>1475927.303203117</v>
      </c>
      <c r="H15" s="54">
        <f t="shared" si="3"/>
        <v>0</v>
      </c>
      <c r="I15" s="55">
        <f>$I$6*'[1]KiGem - modifizierte Zahl'!I12</f>
        <v>476000.00000177516</v>
      </c>
      <c r="J15" s="54">
        <f t="shared" si="4"/>
        <v>0</v>
      </c>
      <c r="K15" s="54">
        <f>$K$6*'[1]Zuschläge'!C12</f>
        <v>0</v>
      </c>
      <c r="L15" s="54">
        <f>$L$6*'[1]Zuschläge'!D12</f>
        <v>0</v>
      </c>
      <c r="M15" s="54">
        <f>$M$6*'[1]Zuschläge'!E12</f>
        <v>0</v>
      </c>
      <c r="N15" s="54">
        <f>$N$6*'[1]Zuschläge'!F12</f>
        <v>0</v>
      </c>
      <c r="O15" s="50">
        <f t="shared" si="5"/>
        <v>2071927.3032055807</v>
      </c>
      <c r="P15" s="56">
        <f>$P$6*'[1]Zuschläge'!G12</f>
        <v>0</v>
      </c>
      <c r="Q15" s="57">
        <f t="shared" si="6"/>
        <v>2071927.3032055807</v>
      </c>
      <c r="R15" s="58">
        <f t="shared" si="7"/>
        <v>1842730.4830642466</v>
      </c>
      <c r="S15" s="57">
        <f>R15/$R$58*'[1]Kriterien - prozentuale Anteile'!$B$3</f>
        <v>1851854.9755118836</v>
      </c>
      <c r="T15" s="56">
        <f t="shared" si="8"/>
        <v>1750002.9518587298</v>
      </c>
      <c r="U15" s="57">
        <f t="shared" si="9"/>
        <v>113956.00167630694</v>
      </c>
      <c r="V15" s="50">
        <f t="shared" si="10"/>
        <v>1863958.9535350366</v>
      </c>
      <c r="W15" s="59">
        <f>V15/$V$58*'[1]Kriterien - prozentuale Anteile'!$B$3</f>
        <v>1863958.9535350373</v>
      </c>
      <c r="X15" s="60" t="s">
        <v>57</v>
      </c>
    </row>
    <row r="16" spans="1:24" ht="12.75">
      <c r="A16" s="49" t="s">
        <v>58</v>
      </c>
      <c r="B16" s="50">
        <v>1657324.52</v>
      </c>
      <c r="C16" s="51">
        <v>21760</v>
      </c>
      <c r="D16" s="52">
        <f t="shared" si="0"/>
        <v>76.1638106617647</v>
      </c>
      <c r="E16" s="53">
        <v>21625</v>
      </c>
      <c r="F16" s="54">
        <f t="shared" si="1"/>
        <v>120000.00000068854</v>
      </c>
      <c r="G16" s="54">
        <f t="shared" si="2"/>
        <v>1182634.0570537797</v>
      </c>
      <c r="H16" s="54">
        <f t="shared" si="3"/>
        <v>0</v>
      </c>
      <c r="I16" s="55">
        <f>$I$6*'[1]KiGem - modifizierte Zahl'!I13</f>
        <v>561000.0000020922</v>
      </c>
      <c r="J16" s="54">
        <f t="shared" si="4"/>
        <v>0</v>
      </c>
      <c r="K16" s="54">
        <f>$K$6*'[1]Zuschläge'!C13</f>
        <v>0</v>
      </c>
      <c r="L16" s="54">
        <f>$L$6*'[1]Zuschläge'!D13</f>
        <v>0</v>
      </c>
      <c r="M16" s="54">
        <f>$M$6*'[1]Zuschläge'!E13</f>
        <v>0</v>
      </c>
      <c r="N16" s="54">
        <f>$N$6*'[1]Zuschläge'!F13</f>
        <v>0</v>
      </c>
      <c r="O16" s="50">
        <f t="shared" si="5"/>
        <v>1863634.0570565604</v>
      </c>
      <c r="P16" s="56">
        <f>$P$6*'[1]Zuschläge'!G13</f>
        <v>0</v>
      </c>
      <c r="Q16" s="57">
        <f t="shared" si="6"/>
        <v>1863634.0570565604</v>
      </c>
      <c r="R16" s="58">
        <f t="shared" si="7"/>
        <v>1647042.4055606618</v>
      </c>
      <c r="S16" s="57">
        <f>R16/$R$58*'[1]Kriterien - prozentuale Anteile'!$B$3</f>
        <v>1655197.9259303503</v>
      </c>
      <c r="T16" s="56">
        <f t="shared" si="8"/>
        <v>1564162.040004181</v>
      </c>
      <c r="U16" s="57">
        <f t="shared" si="9"/>
        <v>102499.87313811082</v>
      </c>
      <c r="V16" s="50">
        <f t="shared" si="10"/>
        <v>1666661.9131422918</v>
      </c>
      <c r="W16" s="59">
        <f>V16/$V$58*'[1]Kriterien - prozentuale Anteile'!$B$3</f>
        <v>1666661.9131422925</v>
      </c>
      <c r="X16" s="60" t="s">
        <v>58</v>
      </c>
    </row>
    <row r="17" spans="1:24" ht="12.75">
      <c r="A17" s="49" t="s">
        <v>59</v>
      </c>
      <c r="B17" s="50">
        <v>4375947.46</v>
      </c>
      <c r="C17" s="51">
        <v>72962</v>
      </c>
      <c r="D17" s="52">
        <f t="shared" si="0"/>
        <v>59.97570598393684</v>
      </c>
      <c r="E17" s="53">
        <v>72245</v>
      </c>
      <c r="F17" s="54">
        <f t="shared" si="1"/>
        <v>120000.00000068854</v>
      </c>
      <c r="G17" s="54">
        <f t="shared" si="2"/>
        <v>3950954.795461287</v>
      </c>
      <c r="H17" s="54">
        <f t="shared" si="3"/>
        <v>244900</v>
      </c>
      <c r="I17" s="55">
        <f>$I$6*'[1]KiGem - modifizierte Zahl'!I14</f>
        <v>527000.0000019653</v>
      </c>
      <c r="J17" s="54">
        <f t="shared" si="4"/>
        <v>0</v>
      </c>
      <c r="K17" s="54">
        <f>$K$6*'[1]Zuschläge'!C14</f>
        <v>0</v>
      </c>
      <c r="L17" s="54">
        <f>$L$6*'[1]Zuschläge'!D14</f>
        <v>0</v>
      </c>
      <c r="M17" s="54">
        <f>$M$6*'[1]Zuschläge'!E14</f>
        <v>0</v>
      </c>
      <c r="N17" s="54">
        <f>$N$6*'[1]Zuschläge'!F14</f>
        <v>0</v>
      </c>
      <c r="O17" s="50">
        <f t="shared" si="5"/>
        <v>4842854.79546394</v>
      </c>
      <c r="P17" s="56">
        <f>$P$6*'[1]Zuschläge'!G14</f>
        <v>0</v>
      </c>
      <c r="Q17" s="57">
        <f t="shared" si="6"/>
        <v>4842854.79546394</v>
      </c>
      <c r="R17" s="58">
        <f t="shared" si="7"/>
        <v>4332944.878809517</v>
      </c>
      <c r="S17" s="57">
        <f>R17/$R$58*'[1]Kriterien - prozentuale Anteile'!$B$3</f>
        <v>4354399.95495119</v>
      </c>
      <c r="T17" s="56">
        <f t="shared" si="8"/>
        <v>4114907.957428875</v>
      </c>
      <c r="U17" s="57">
        <f t="shared" si="9"/>
        <v>266357.0137505167</v>
      </c>
      <c r="V17" s="50">
        <f t="shared" si="10"/>
        <v>4381264.971179391</v>
      </c>
      <c r="W17" s="59">
        <f>V17/$V$58*'[1]Kriterien - prozentuale Anteile'!$B$3</f>
        <v>4381264.971179393</v>
      </c>
      <c r="X17" s="60" t="s">
        <v>59</v>
      </c>
    </row>
    <row r="18" spans="1:24" ht="12.75">
      <c r="A18" s="49" t="s">
        <v>60</v>
      </c>
      <c r="B18" s="50">
        <v>2126243.54</v>
      </c>
      <c r="C18" s="51">
        <v>29785</v>
      </c>
      <c r="D18" s="52">
        <f t="shared" si="0"/>
        <v>71.3863871076045</v>
      </c>
      <c r="E18" s="53">
        <v>29652</v>
      </c>
      <c r="F18" s="54">
        <f t="shared" si="1"/>
        <v>120000.00000068854</v>
      </c>
      <c r="G18" s="54">
        <f t="shared" si="2"/>
        <v>1621616.881376124</v>
      </c>
      <c r="H18" s="54">
        <f t="shared" si="3"/>
        <v>0</v>
      </c>
      <c r="I18" s="55">
        <f>$I$6*'[1]KiGem - modifizierte Zahl'!I15</f>
        <v>425000.000001585</v>
      </c>
      <c r="J18" s="54">
        <f t="shared" si="4"/>
        <v>0</v>
      </c>
      <c r="K18" s="54">
        <f>$K$6*'[1]Zuschläge'!C15</f>
        <v>0</v>
      </c>
      <c r="L18" s="54">
        <f>$L$6*'[1]Zuschläge'!D15</f>
        <v>0</v>
      </c>
      <c r="M18" s="54">
        <f>$M$6*'[1]Zuschläge'!E15</f>
        <v>0</v>
      </c>
      <c r="N18" s="54">
        <f>$N$6*'[1]Zuschläge'!F15</f>
        <v>0</v>
      </c>
      <c r="O18" s="50">
        <f t="shared" si="5"/>
        <v>2166616.8813783973</v>
      </c>
      <c r="P18" s="56">
        <f>$P$6*'[1]Zuschläge'!G15</f>
        <v>0</v>
      </c>
      <c r="Q18" s="57">
        <f t="shared" si="6"/>
        <v>2166616.8813783973</v>
      </c>
      <c r="R18" s="58">
        <f t="shared" si="7"/>
        <v>2116749.150514689</v>
      </c>
      <c r="S18" s="57">
        <f>R18/$R$58*'[1]Kriterien - prozentuale Anteile'!$B$3</f>
        <v>2127230.4779876554</v>
      </c>
      <c r="T18" s="56">
        <f t="shared" si="8"/>
        <v>2010232.8016983343</v>
      </c>
      <c r="U18" s="57">
        <f t="shared" si="9"/>
        <v>119163.92847581186</v>
      </c>
      <c r="V18" s="50">
        <f t="shared" si="10"/>
        <v>2129396.730174146</v>
      </c>
      <c r="W18" s="59">
        <f>V18/$V$58*'[1]Kriterien - prozentuale Anteile'!$B$3</f>
        <v>2129396.730174147</v>
      </c>
      <c r="X18" s="60" t="s">
        <v>60</v>
      </c>
    </row>
    <row r="19" spans="1:24" ht="12.75">
      <c r="A19" s="49" t="s">
        <v>61</v>
      </c>
      <c r="B19" s="50">
        <v>2647468.81</v>
      </c>
      <c r="C19" s="51">
        <v>35535</v>
      </c>
      <c r="D19" s="52">
        <f t="shared" si="0"/>
        <v>74.50313240467145</v>
      </c>
      <c r="E19" s="53">
        <v>35424</v>
      </c>
      <c r="F19" s="54">
        <f t="shared" si="1"/>
        <v>120000.00000068854</v>
      </c>
      <c r="G19" s="54">
        <f t="shared" si="2"/>
        <v>1937277.634084305</v>
      </c>
      <c r="H19" s="54">
        <f t="shared" si="3"/>
        <v>0</v>
      </c>
      <c r="I19" s="55">
        <f>$I$6*'[1]KiGem - modifizierte Zahl'!I16</f>
        <v>650250.000002425</v>
      </c>
      <c r="J19" s="54">
        <f t="shared" si="4"/>
        <v>0</v>
      </c>
      <c r="K19" s="54">
        <f>$K$6*'[1]Zuschläge'!C16</f>
        <v>0</v>
      </c>
      <c r="L19" s="54">
        <f>$L$6*'[1]Zuschläge'!D16</f>
        <v>0</v>
      </c>
      <c r="M19" s="54">
        <f>$M$6*'[1]Zuschläge'!E16</f>
        <v>0</v>
      </c>
      <c r="N19" s="54">
        <f>$N$6*'[1]Zuschläge'!F16</f>
        <v>0</v>
      </c>
      <c r="O19" s="50">
        <f t="shared" si="5"/>
        <v>2707527.6340874187</v>
      </c>
      <c r="P19" s="56">
        <f>$P$6*'[1]Zuschläge'!G16</f>
        <v>0</v>
      </c>
      <c r="Q19" s="57">
        <f t="shared" si="6"/>
        <v>2707527.6340874187</v>
      </c>
      <c r="R19" s="58">
        <f t="shared" si="7"/>
        <v>2639198.9623030815</v>
      </c>
      <c r="S19" s="57">
        <f>R19/$R$58*'[1]Kriterien - prozentuale Anteile'!$B$3</f>
        <v>2652267.260255858</v>
      </c>
      <c r="T19" s="56">
        <f t="shared" si="8"/>
        <v>2506392.5609417856</v>
      </c>
      <c r="U19" s="57">
        <f t="shared" si="9"/>
        <v>148914.01987480803</v>
      </c>
      <c r="V19" s="50">
        <f t="shared" si="10"/>
        <v>2655306.5808165935</v>
      </c>
      <c r="W19" s="59">
        <f>V19/$V$58*'[1]Kriterien - prozentuale Anteile'!$B$3</f>
        <v>2655306.5808165944</v>
      </c>
      <c r="X19" s="60" t="s">
        <v>61</v>
      </c>
    </row>
    <row r="20" spans="1:24" ht="12.75">
      <c r="A20" s="49" t="s">
        <v>62</v>
      </c>
      <c r="B20" s="50">
        <v>2285777.71</v>
      </c>
      <c r="C20" s="51">
        <v>32153</v>
      </c>
      <c r="D20" s="52">
        <f t="shared" si="0"/>
        <v>71.09065126115759</v>
      </c>
      <c r="E20" s="53">
        <v>31954</v>
      </c>
      <c r="F20" s="54">
        <f t="shared" si="1"/>
        <v>120000.00000068854</v>
      </c>
      <c r="G20" s="54">
        <f t="shared" si="2"/>
        <v>1747509.3021547506</v>
      </c>
      <c r="H20" s="54">
        <f t="shared" si="3"/>
        <v>0</v>
      </c>
      <c r="I20" s="55">
        <f>$I$6*'[1]KiGem - modifizierte Zahl'!I17</f>
        <v>510000.000001902</v>
      </c>
      <c r="J20" s="54">
        <f t="shared" si="4"/>
        <v>0</v>
      </c>
      <c r="K20" s="54">
        <f>$K$6*'[1]Zuschläge'!C17</f>
        <v>0</v>
      </c>
      <c r="L20" s="54">
        <f>$L$6*'[1]Zuschläge'!D17</f>
        <v>0</v>
      </c>
      <c r="M20" s="54">
        <f>$M$6*'[1]Zuschläge'!E17</f>
        <v>0</v>
      </c>
      <c r="N20" s="54">
        <f>$N$6*'[1]Zuschläge'!F17</f>
        <v>0</v>
      </c>
      <c r="O20" s="50">
        <f t="shared" si="5"/>
        <v>2377509.302157341</v>
      </c>
      <c r="P20" s="56">
        <f>$P$6*'[1]Zuschläge'!G17</f>
        <v>0</v>
      </c>
      <c r="Q20" s="57">
        <f t="shared" si="6"/>
        <v>2377509.302157341</v>
      </c>
      <c r="R20" s="58">
        <f t="shared" si="7"/>
        <v>2271630.6703990297</v>
      </c>
      <c r="S20" s="57">
        <f>R20/$R$58*'[1]Kriterien - prozentuale Anteile'!$B$3</f>
        <v>2282878.9115750315</v>
      </c>
      <c r="T20" s="56">
        <f t="shared" si="8"/>
        <v>2157320.5714384047</v>
      </c>
      <c r="U20" s="57">
        <f t="shared" si="9"/>
        <v>130763.01161865376</v>
      </c>
      <c r="V20" s="50">
        <f t="shared" si="10"/>
        <v>2288083.5830570585</v>
      </c>
      <c r="W20" s="59">
        <f>V20/$V$58*'[1]Kriterien - prozentuale Anteile'!$B$3</f>
        <v>2288083.5830570594</v>
      </c>
      <c r="X20" s="60" t="s">
        <v>62</v>
      </c>
    </row>
    <row r="21" spans="1:24" ht="12.75">
      <c r="A21" s="49" t="s">
        <v>63</v>
      </c>
      <c r="B21" s="50">
        <v>3981505.96</v>
      </c>
      <c r="C21" s="51">
        <v>46227</v>
      </c>
      <c r="D21" s="52">
        <f t="shared" si="0"/>
        <v>86.12944729270772</v>
      </c>
      <c r="E21" s="53">
        <v>45768</v>
      </c>
      <c r="F21" s="54">
        <f t="shared" si="1"/>
        <v>120000.00000068854</v>
      </c>
      <c r="G21" s="54">
        <f t="shared" si="2"/>
        <v>2502973.2033867002</v>
      </c>
      <c r="H21" s="54">
        <f t="shared" si="3"/>
        <v>0</v>
      </c>
      <c r="I21" s="55">
        <f>$I$6*'[1]KiGem - modifizierte Zahl'!I18</f>
        <v>416500.0000015533</v>
      </c>
      <c r="J21" s="54">
        <f t="shared" si="4"/>
        <v>0</v>
      </c>
      <c r="K21" s="54">
        <f>$K$6*'[1]Zuschläge'!C18</f>
        <v>499999.9999761973</v>
      </c>
      <c r="L21" s="54">
        <f>$L$6*'[1]Zuschläge'!D18</f>
        <v>0</v>
      </c>
      <c r="M21" s="54">
        <f>$M$6*'[1]Zuschläge'!E18</f>
        <v>0</v>
      </c>
      <c r="N21" s="54">
        <f>$N$6*'[1]Zuschläge'!F18</f>
        <v>0</v>
      </c>
      <c r="O21" s="50">
        <f t="shared" si="5"/>
        <v>3539473.2033651397</v>
      </c>
      <c r="P21" s="56">
        <f>$P$6*'[1]Zuschläge'!G18</f>
        <v>0</v>
      </c>
      <c r="Q21" s="57">
        <f t="shared" si="6"/>
        <v>3539473.2033651397</v>
      </c>
      <c r="R21" s="58">
        <f t="shared" si="7"/>
        <v>3941972.5436926475</v>
      </c>
      <c r="S21" s="57">
        <f>R21/$R$58*'[1]Kriterien - prozentuale Anteile'!$B$3</f>
        <v>3961491.675239169</v>
      </c>
      <c r="T21" s="56">
        <f t="shared" si="8"/>
        <v>3743609.6331010144</v>
      </c>
      <c r="U21" s="57">
        <f t="shared" si="9"/>
        <v>194671.02618508268</v>
      </c>
      <c r="V21" s="50">
        <f t="shared" si="10"/>
        <v>3938280.659286097</v>
      </c>
      <c r="W21" s="59">
        <f>V21/$V$58*'[1]Kriterien - prozentuale Anteile'!$B$3</f>
        <v>3938280.659286099</v>
      </c>
      <c r="X21" s="60" t="s">
        <v>63</v>
      </c>
    </row>
    <row r="22" spans="1:24" ht="12.75">
      <c r="A22" s="49" t="s">
        <v>64</v>
      </c>
      <c r="B22" s="50">
        <v>2310924.88</v>
      </c>
      <c r="C22" s="51">
        <v>36572</v>
      </c>
      <c r="D22" s="52">
        <f t="shared" si="0"/>
        <v>63.188364869298915</v>
      </c>
      <c r="E22" s="53">
        <v>36375</v>
      </c>
      <c r="F22" s="54">
        <f t="shared" si="1"/>
        <v>120000.00000068854</v>
      </c>
      <c r="G22" s="54">
        <f t="shared" si="2"/>
        <v>1989286.1884546238</v>
      </c>
      <c r="H22" s="54">
        <f t="shared" si="3"/>
        <v>0</v>
      </c>
      <c r="I22" s="55">
        <f>$I$6*'[1]KiGem - modifizierte Zahl'!I19</f>
        <v>289000.0000010778</v>
      </c>
      <c r="J22" s="54">
        <f t="shared" si="4"/>
        <v>0</v>
      </c>
      <c r="K22" s="54">
        <f>$K$6*'[1]Zuschläge'!C19</f>
        <v>0</v>
      </c>
      <c r="L22" s="54">
        <f>$L$6*'[1]Zuschläge'!D19</f>
        <v>0</v>
      </c>
      <c r="M22" s="54">
        <f>$M$6*'[1]Zuschläge'!E19</f>
        <v>0</v>
      </c>
      <c r="N22" s="54">
        <f>$N$6*'[1]Zuschläge'!F19</f>
        <v>0</v>
      </c>
      <c r="O22" s="50">
        <f t="shared" si="5"/>
        <v>2398286.18845639</v>
      </c>
      <c r="P22" s="56">
        <f>$P$6*'[1]Zuschläge'!G19</f>
        <v>0</v>
      </c>
      <c r="Q22" s="57">
        <f t="shared" si="6"/>
        <v>2398286.18845639</v>
      </c>
      <c r="R22" s="58">
        <f t="shared" si="7"/>
        <v>2298476.772120748</v>
      </c>
      <c r="S22" s="57">
        <f>R22/$R$58*'[1]Kriterien - prozentuale Anteile'!$B$3</f>
        <v>2309857.9448646917</v>
      </c>
      <c r="T22" s="56">
        <f t="shared" si="8"/>
        <v>2182815.7578971335</v>
      </c>
      <c r="U22" s="57">
        <f t="shared" si="9"/>
        <v>131905.74036510146</v>
      </c>
      <c r="V22" s="50">
        <f t="shared" si="10"/>
        <v>2314721.498262235</v>
      </c>
      <c r="W22" s="59">
        <f>V22/$V$58*'[1]Kriterien - prozentuale Anteile'!$B$3</f>
        <v>2314721.498262236</v>
      </c>
      <c r="X22" s="60" t="s">
        <v>64</v>
      </c>
    </row>
    <row r="23" spans="1:24" ht="12.75">
      <c r="A23" s="49" t="s">
        <v>65</v>
      </c>
      <c r="B23" s="50">
        <v>5537949.27</v>
      </c>
      <c r="C23" s="51">
        <v>68372</v>
      </c>
      <c r="D23" s="52">
        <f t="shared" si="0"/>
        <v>80.99732741473117</v>
      </c>
      <c r="E23" s="53">
        <v>67802</v>
      </c>
      <c r="F23" s="54">
        <f t="shared" si="1"/>
        <v>120000.00000068854</v>
      </c>
      <c r="G23" s="54">
        <f t="shared" si="2"/>
        <v>3707974.766999324</v>
      </c>
      <c r="H23" s="54">
        <f t="shared" si="3"/>
        <v>156040</v>
      </c>
      <c r="I23" s="55">
        <f>$I$6*'[1]KiGem - modifizierte Zahl'!I20</f>
        <v>595000.000002219</v>
      </c>
      <c r="J23" s="54">
        <f t="shared" si="4"/>
        <v>0</v>
      </c>
      <c r="K23" s="54">
        <f>$K$6*'[1]Zuschläge'!C20</f>
        <v>0</v>
      </c>
      <c r="L23" s="54">
        <f>$L$6*'[1]Zuschläge'!D20</f>
        <v>0</v>
      </c>
      <c r="M23" s="54">
        <f>$M$6*'[1]Zuschläge'!E20</f>
        <v>300000.0000002925</v>
      </c>
      <c r="N23" s="54">
        <f>$N$6*'[1]Zuschläge'!F20</f>
        <v>0</v>
      </c>
      <c r="O23" s="50">
        <f t="shared" si="5"/>
        <v>4879014.767002524</v>
      </c>
      <c r="P23" s="56">
        <f>$P$6*'[1]Zuschläge'!G20</f>
        <v>0</v>
      </c>
      <c r="Q23" s="57">
        <f t="shared" si="6"/>
        <v>4879014.767002524</v>
      </c>
      <c r="R23" s="58">
        <f t="shared" si="7"/>
        <v>5491780.793373603</v>
      </c>
      <c r="S23" s="57">
        <f>R23/$R$58*'[1]Kriterien - prozentuale Anteile'!$B$3</f>
        <v>5518973.979156198</v>
      </c>
      <c r="T23" s="56">
        <f t="shared" si="8"/>
        <v>5215430.410302606</v>
      </c>
      <c r="U23" s="57">
        <f t="shared" si="9"/>
        <v>268345.8121851388</v>
      </c>
      <c r="V23" s="50">
        <f t="shared" si="10"/>
        <v>5483776.222487745</v>
      </c>
      <c r="W23" s="59">
        <f>V23/$V$58*'[1]Kriterien - prozentuale Anteile'!$B$3</f>
        <v>5483776.222487747</v>
      </c>
      <c r="X23" s="60" t="s">
        <v>65</v>
      </c>
    </row>
    <row r="24" spans="1:24" ht="12.75">
      <c r="A24" s="49" t="s">
        <v>66</v>
      </c>
      <c r="B24" s="50">
        <v>3245413.64</v>
      </c>
      <c r="C24" s="51">
        <v>44351</v>
      </c>
      <c r="D24" s="52">
        <f t="shared" si="0"/>
        <v>73.17565872246398</v>
      </c>
      <c r="E24" s="53">
        <v>44133</v>
      </c>
      <c r="F24" s="54">
        <f t="shared" si="1"/>
        <v>120000.00000068854</v>
      </c>
      <c r="G24" s="54">
        <f t="shared" si="2"/>
        <v>2413557.8654314205</v>
      </c>
      <c r="H24" s="54">
        <f t="shared" si="3"/>
        <v>0</v>
      </c>
      <c r="I24" s="55">
        <f>$I$6*'[1]KiGem - modifizierte Zahl'!I21</f>
        <v>692750.0000025835</v>
      </c>
      <c r="J24" s="54">
        <f t="shared" si="4"/>
        <v>0</v>
      </c>
      <c r="K24" s="54">
        <f>$K$6*'[1]Zuschläge'!C21</f>
        <v>0</v>
      </c>
      <c r="L24" s="54">
        <f>$L$6*'[1]Zuschläge'!D21</f>
        <v>0</v>
      </c>
      <c r="M24" s="54">
        <f>$M$6*'[1]Zuschläge'!E21</f>
        <v>0</v>
      </c>
      <c r="N24" s="54">
        <f>$N$6*'[1]Zuschläge'!F21</f>
        <v>0</v>
      </c>
      <c r="O24" s="50">
        <f t="shared" si="5"/>
        <v>3226307.8654346927</v>
      </c>
      <c r="P24" s="56">
        <f>$P$6*'[1]Zuschläge'!G21</f>
        <v>0</v>
      </c>
      <c r="Q24" s="57">
        <f t="shared" si="6"/>
        <v>3226307.8654346927</v>
      </c>
      <c r="R24" s="58">
        <f t="shared" si="7"/>
        <v>3229461.346398503</v>
      </c>
      <c r="S24" s="57">
        <f>R24/$R$58*'[1]Kriterien - prozentuale Anteile'!$B$3</f>
        <v>3245452.3966014325</v>
      </c>
      <c r="T24" s="56">
        <f t="shared" si="8"/>
        <v>3066952.5147883534</v>
      </c>
      <c r="U24" s="57">
        <f t="shared" si="9"/>
        <v>177446.9325989081</v>
      </c>
      <c r="V24" s="50">
        <f t="shared" si="10"/>
        <v>3244399.4473872613</v>
      </c>
      <c r="W24" s="59">
        <f>V24/$V$58*'[1]Kriterien - prozentuale Anteile'!$B$3</f>
        <v>3244399.4473872622</v>
      </c>
      <c r="X24" s="60" t="s">
        <v>66</v>
      </c>
    </row>
    <row r="25" spans="1:24" ht="12.75">
      <c r="A25" s="49" t="s">
        <v>67</v>
      </c>
      <c r="B25" s="50">
        <v>1451908.16</v>
      </c>
      <c r="C25" s="51">
        <v>22430</v>
      </c>
      <c r="D25" s="52">
        <f t="shared" si="0"/>
        <v>64.73063575568435</v>
      </c>
      <c r="E25" s="53">
        <v>22398</v>
      </c>
      <c r="F25" s="54">
        <f t="shared" si="1"/>
        <v>120000.00000068854</v>
      </c>
      <c r="G25" s="54">
        <f t="shared" si="2"/>
        <v>1224908.0975671934</v>
      </c>
      <c r="H25" s="54">
        <f t="shared" si="3"/>
        <v>0</v>
      </c>
      <c r="I25" s="55">
        <f>$I$6*'[1]KiGem - modifizierte Zahl'!I22</f>
        <v>289000.0000010778</v>
      </c>
      <c r="J25" s="54">
        <f t="shared" si="4"/>
        <v>0</v>
      </c>
      <c r="K25" s="54">
        <f>$K$6*'[1]Zuschläge'!C22</f>
        <v>0</v>
      </c>
      <c r="L25" s="54">
        <f>$L$6*'[1]Zuschläge'!D22</f>
        <v>0</v>
      </c>
      <c r="M25" s="54">
        <f>$M$6*'[1]Zuschläge'!E22</f>
        <v>0</v>
      </c>
      <c r="N25" s="54">
        <f>$N$6*'[1]Zuschläge'!F22</f>
        <v>0</v>
      </c>
      <c r="O25" s="50">
        <f t="shared" si="5"/>
        <v>1633908.0975689597</v>
      </c>
      <c r="P25" s="56">
        <f>$P$6*'[1]Zuschläge'!G22</f>
        <v>0</v>
      </c>
      <c r="Q25" s="57">
        <f t="shared" si="6"/>
        <v>1633908.0975689597</v>
      </c>
      <c r="R25" s="58">
        <f t="shared" si="7"/>
        <v>1449836.7796558181</v>
      </c>
      <c r="S25" s="57">
        <f>R25/$R$58*'[1]Kriterien - prozentuale Anteile'!$B$3</f>
        <v>1457015.813631681</v>
      </c>
      <c r="T25" s="56">
        <f t="shared" si="8"/>
        <v>1376879.9438819385</v>
      </c>
      <c r="U25" s="57">
        <f t="shared" si="9"/>
        <v>89864.94536629278</v>
      </c>
      <c r="V25" s="50">
        <f t="shared" si="10"/>
        <v>1466744.8892482312</v>
      </c>
      <c r="W25" s="59">
        <f>V25/$V$58*'[1]Kriterien - prozentuale Anteile'!$B$3</f>
        <v>1466744.8892482317</v>
      </c>
      <c r="X25" s="60" t="s">
        <v>67</v>
      </c>
    </row>
    <row r="26" spans="1:24" ht="12.75">
      <c r="A26" s="49" t="s">
        <v>68</v>
      </c>
      <c r="B26" s="50">
        <v>2325048.53</v>
      </c>
      <c r="C26" s="51">
        <v>30738</v>
      </c>
      <c r="D26" s="52">
        <f t="shared" si="0"/>
        <v>75.64085269048083</v>
      </c>
      <c r="E26" s="53">
        <v>30528</v>
      </c>
      <c r="F26" s="54">
        <f t="shared" si="1"/>
        <v>120000.00000068854</v>
      </c>
      <c r="G26" s="54">
        <f t="shared" si="2"/>
        <v>1669523.8147393197</v>
      </c>
      <c r="H26" s="54">
        <f t="shared" si="3"/>
        <v>0</v>
      </c>
      <c r="I26" s="55">
        <f>$I$6*'[1]KiGem - modifizierte Zahl'!I23</f>
        <v>433500.00000161666</v>
      </c>
      <c r="J26" s="54">
        <f t="shared" si="4"/>
        <v>0</v>
      </c>
      <c r="K26" s="54">
        <f>$K$6*'[1]Zuschläge'!C23</f>
        <v>0</v>
      </c>
      <c r="L26" s="54">
        <f>$L$6*'[1]Zuschläge'!D23</f>
        <v>0</v>
      </c>
      <c r="M26" s="54">
        <f>$M$6*'[1]Zuschläge'!E23</f>
        <v>0</v>
      </c>
      <c r="N26" s="54">
        <f>$N$6*'[1]Zuschläge'!F23</f>
        <v>0</v>
      </c>
      <c r="O26" s="50">
        <f t="shared" si="5"/>
        <v>2223023.814741625</v>
      </c>
      <c r="P26" s="56">
        <f>$P$6*'[1]Zuschläge'!G23</f>
        <v>0</v>
      </c>
      <c r="Q26" s="57">
        <f t="shared" si="6"/>
        <v>2223023.814741625</v>
      </c>
      <c r="R26" s="58">
        <f t="shared" si="7"/>
        <v>2309163.9509349987</v>
      </c>
      <c r="S26" s="57">
        <f>R26/$R$58*'[1]Kriterien - prozentuale Anteile'!$B$3</f>
        <v>2320598.0424770378</v>
      </c>
      <c r="T26" s="56">
        <f t="shared" si="8"/>
        <v>2192965.1501408005</v>
      </c>
      <c r="U26" s="57">
        <f t="shared" si="9"/>
        <v>122266.30981078937</v>
      </c>
      <c r="V26" s="50">
        <f t="shared" si="10"/>
        <v>2315231.45995159</v>
      </c>
      <c r="W26" s="59">
        <f>V26/$V$58*'[1]Kriterien - prozentuale Anteile'!$B$3</f>
        <v>2315231.4599515907</v>
      </c>
      <c r="X26" s="60" t="s">
        <v>68</v>
      </c>
    </row>
    <row r="27" spans="1:24" ht="12.75">
      <c r="A27" s="49" t="s">
        <v>69</v>
      </c>
      <c r="B27" s="50">
        <v>4524331.59</v>
      </c>
      <c r="C27" s="51">
        <v>66021</v>
      </c>
      <c r="D27" s="52">
        <f t="shared" si="0"/>
        <v>68.5286740582542</v>
      </c>
      <c r="E27" s="53">
        <v>65590</v>
      </c>
      <c r="F27" s="54">
        <f t="shared" si="1"/>
        <v>120000.00000068854</v>
      </c>
      <c r="G27" s="54">
        <f t="shared" si="2"/>
        <v>3587004.291429245</v>
      </c>
      <c r="H27" s="54">
        <f t="shared" si="3"/>
        <v>111800</v>
      </c>
      <c r="I27" s="55">
        <f>$I$6*'[1]KiGem - modifizierte Zahl'!I24</f>
        <v>667250.0000024884</v>
      </c>
      <c r="J27" s="54">
        <f t="shared" si="4"/>
        <v>0</v>
      </c>
      <c r="K27" s="54">
        <f>$K$6*'[1]Zuschläge'!C24</f>
        <v>0</v>
      </c>
      <c r="L27" s="54">
        <f>$L$6*'[1]Zuschläge'!D24</f>
        <v>0</v>
      </c>
      <c r="M27" s="54">
        <f>$M$6*'[1]Zuschläge'!E24</f>
        <v>0</v>
      </c>
      <c r="N27" s="54">
        <f>$N$6*'[1]Zuschläge'!F24</f>
        <v>0</v>
      </c>
      <c r="O27" s="50">
        <f t="shared" si="5"/>
        <v>4486054.291432422</v>
      </c>
      <c r="P27" s="56">
        <f>$P$6*'[1]Zuschläge'!G24</f>
        <v>0</v>
      </c>
      <c r="Q27" s="57">
        <f t="shared" si="6"/>
        <v>4486054.291432422</v>
      </c>
      <c r="R27" s="58">
        <f t="shared" si="7"/>
        <v>4494795.731480893</v>
      </c>
      <c r="S27" s="57">
        <f>R27/$R$58*'[1]Kriterien - prozentuale Anteile'!$B$3</f>
        <v>4517052.230780438</v>
      </c>
      <c r="T27" s="56">
        <f t="shared" si="8"/>
        <v>4268614.358087514</v>
      </c>
      <c r="U27" s="57">
        <f t="shared" si="9"/>
        <v>246732.9860287832</v>
      </c>
      <c r="V27" s="50">
        <f t="shared" si="10"/>
        <v>4515347.344116297</v>
      </c>
      <c r="W27" s="59">
        <f>V27/$V$58*'[1]Kriterien - prozentuale Anteile'!$B$3</f>
        <v>4515347.3441162985</v>
      </c>
      <c r="X27" s="60" t="s">
        <v>69</v>
      </c>
    </row>
    <row r="28" spans="1:24" ht="12.75">
      <c r="A28" s="49" t="s">
        <v>70</v>
      </c>
      <c r="B28" s="50">
        <v>4213378.3</v>
      </c>
      <c r="C28" s="51">
        <v>56886</v>
      </c>
      <c r="D28" s="52">
        <f t="shared" si="0"/>
        <v>74.06705164715396</v>
      </c>
      <c r="E28" s="53">
        <v>56401</v>
      </c>
      <c r="F28" s="54">
        <f t="shared" si="1"/>
        <v>120000.00000068854</v>
      </c>
      <c r="G28" s="54">
        <f t="shared" si="2"/>
        <v>3084473.6856365427</v>
      </c>
      <c r="H28" s="54">
        <f t="shared" si="3"/>
        <v>0</v>
      </c>
      <c r="I28" s="55">
        <f>$I$6*'[1]KiGem - modifizierte Zahl'!I25</f>
        <v>599250.0000022348</v>
      </c>
      <c r="J28" s="54">
        <f t="shared" si="4"/>
        <v>0</v>
      </c>
      <c r="K28" s="54">
        <f>$K$6*'[1]Zuschläge'!C25</f>
        <v>0</v>
      </c>
      <c r="L28" s="54">
        <f>$L$6*'[1]Zuschläge'!D25</f>
        <v>0</v>
      </c>
      <c r="M28" s="54">
        <f>$M$6*'[1]Zuschläge'!E25</f>
        <v>0</v>
      </c>
      <c r="N28" s="54">
        <f>$N$6*'[1]Zuschläge'!F25</f>
        <v>100000.00001224264</v>
      </c>
      <c r="O28" s="50">
        <f t="shared" si="5"/>
        <v>3903723.685651709</v>
      </c>
      <c r="P28" s="56">
        <f>$P$6*'[1]Zuschläge'!G25</f>
        <v>0</v>
      </c>
      <c r="Q28" s="57">
        <f t="shared" si="6"/>
        <v>3903723.685651709</v>
      </c>
      <c r="R28" s="58">
        <f t="shared" si="7"/>
        <v>4177455.77995113</v>
      </c>
      <c r="S28" s="57">
        <f>R28/$R$58*'[1]Kriterien - prozentuale Anteile'!$B$3</f>
        <v>4198140.933892426</v>
      </c>
      <c r="T28" s="56">
        <f t="shared" si="8"/>
        <v>3967243.1825283426</v>
      </c>
      <c r="U28" s="57">
        <f t="shared" si="9"/>
        <v>214704.802710844</v>
      </c>
      <c r="V28" s="50">
        <f t="shared" si="10"/>
        <v>4181947.985239187</v>
      </c>
      <c r="W28" s="59">
        <f>V28/$V$58*'[1]Kriterien - prozentuale Anteile'!$B$3</f>
        <v>4181947.9852391887</v>
      </c>
      <c r="X28" s="60" t="s">
        <v>70</v>
      </c>
    </row>
    <row r="29" spans="1:24" ht="12.75">
      <c r="A29" s="49" t="s">
        <v>71</v>
      </c>
      <c r="B29" s="50">
        <v>5796195.08</v>
      </c>
      <c r="C29" s="51">
        <v>73383</v>
      </c>
      <c r="D29" s="52">
        <f t="shared" si="0"/>
        <v>78.98552907349114</v>
      </c>
      <c r="E29" s="53">
        <v>72523</v>
      </c>
      <c r="F29" s="54">
        <f t="shared" si="1"/>
        <v>120000.00000068854</v>
      </c>
      <c r="G29" s="54">
        <f t="shared" si="2"/>
        <v>3966158.1373276887</v>
      </c>
      <c r="H29" s="54">
        <f t="shared" si="3"/>
        <v>250460</v>
      </c>
      <c r="I29" s="55">
        <f>$I$6*'[1]KiGem - modifizierte Zahl'!I26</f>
        <v>556750.0000020763</v>
      </c>
      <c r="J29" s="54">
        <f t="shared" si="4"/>
        <v>0</v>
      </c>
      <c r="K29" s="54">
        <f>$K$6*'[1]Zuschläge'!C26</f>
        <v>0</v>
      </c>
      <c r="L29" s="54">
        <f>$L$6*'[1]Zuschläge'!D26</f>
        <v>499999.9999761973</v>
      </c>
      <c r="M29" s="54">
        <f>$M$6*'[1]Zuschläge'!E26</f>
        <v>0</v>
      </c>
      <c r="N29" s="54">
        <f>$N$6*'[1]Zuschläge'!F26</f>
        <v>0</v>
      </c>
      <c r="O29" s="50">
        <f t="shared" si="5"/>
        <v>5393368.13730665</v>
      </c>
      <c r="P29" s="56">
        <f>$P$6*'[1]Zuschläge'!G26</f>
        <v>0</v>
      </c>
      <c r="Q29" s="57">
        <f t="shared" si="6"/>
        <v>5393368.13730665</v>
      </c>
      <c r="R29" s="58">
        <f t="shared" si="7"/>
        <v>5728267.524996798</v>
      </c>
      <c r="S29" s="57">
        <f>R29/$R$58*'[1]Kriterien - prozentuale Anteile'!$B$3</f>
        <v>5756631.7020971645</v>
      </c>
      <c r="T29" s="56">
        <f t="shared" si="8"/>
        <v>5440016.95848182</v>
      </c>
      <c r="U29" s="57">
        <f t="shared" si="9"/>
        <v>296635.24755186576</v>
      </c>
      <c r="V29" s="50">
        <f t="shared" si="10"/>
        <v>5736652.206033686</v>
      </c>
      <c r="W29" s="59">
        <f>V29/$V$58*'[1]Kriterien - prozentuale Anteile'!$B$3</f>
        <v>5736652.206033688</v>
      </c>
      <c r="X29" s="60" t="s">
        <v>71</v>
      </c>
    </row>
    <row r="30" spans="1:24" ht="12.75">
      <c r="A30" s="49" t="s">
        <v>72</v>
      </c>
      <c r="B30" s="50">
        <v>2763051.79</v>
      </c>
      <c r="C30" s="51">
        <v>42636</v>
      </c>
      <c r="D30" s="52">
        <f t="shared" si="0"/>
        <v>64.80560535697532</v>
      </c>
      <c r="E30" s="53">
        <v>42611</v>
      </c>
      <c r="F30" s="54">
        <f t="shared" si="1"/>
        <v>120000.00000068854</v>
      </c>
      <c r="G30" s="54">
        <f t="shared" si="2"/>
        <v>2330322.303126872</v>
      </c>
      <c r="H30" s="54">
        <f t="shared" si="3"/>
        <v>0</v>
      </c>
      <c r="I30" s="55">
        <f>$I$6*'[1]KiGem - modifizierte Zahl'!I27</f>
        <v>442000.0000016484</v>
      </c>
      <c r="J30" s="54">
        <f t="shared" si="4"/>
        <v>0</v>
      </c>
      <c r="K30" s="54">
        <f>$K$6*'[1]Zuschläge'!C27</f>
        <v>0</v>
      </c>
      <c r="L30" s="54">
        <f>$L$6*'[1]Zuschläge'!D27</f>
        <v>0</v>
      </c>
      <c r="M30" s="54">
        <f>$M$6*'[1]Zuschläge'!E27</f>
        <v>0</v>
      </c>
      <c r="N30" s="54">
        <f>$N$6*'[1]Zuschläge'!F27</f>
        <v>0</v>
      </c>
      <c r="O30" s="50">
        <f t="shared" si="5"/>
        <v>2892322.303129209</v>
      </c>
      <c r="P30" s="56">
        <f>$P$6*'[1]Zuschläge'!G27</f>
        <v>0</v>
      </c>
      <c r="Q30" s="57">
        <f t="shared" si="6"/>
        <v>2892322.303129209</v>
      </c>
      <c r="R30" s="58">
        <f t="shared" si="7"/>
        <v>2761431.6498660757</v>
      </c>
      <c r="S30" s="57">
        <f>R30/$R$58*'[1]Kriterien - prozentuale Anteile'!$B$3</f>
        <v>2775105.1970643452</v>
      </c>
      <c r="T30" s="56">
        <f t="shared" si="8"/>
        <v>2622474.411225806</v>
      </c>
      <c r="U30" s="57">
        <f t="shared" si="9"/>
        <v>159077.7266721065</v>
      </c>
      <c r="V30" s="50">
        <f t="shared" si="10"/>
        <v>2781552.1378979124</v>
      </c>
      <c r="W30" s="59">
        <f>V30/$V$58*'[1]Kriterien - prozentuale Anteile'!$B$3</f>
        <v>2781552.1378979133</v>
      </c>
      <c r="X30" s="60" t="s">
        <v>72</v>
      </c>
    </row>
    <row r="31" spans="1:24" ht="12.75">
      <c r="A31" s="49" t="s">
        <v>73</v>
      </c>
      <c r="B31" s="50">
        <v>2433671.39</v>
      </c>
      <c r="C31" s="51">
        <v>40244</v>
      </c>
      <c r="D31" s="52">
        <f t="shared" si="0"/>
        <v>60.472900059636224</v>
      </c>
      <c r="E31" s="53">
        <v>40031</v>
      </c>
      <c r="F31" s="54">
        <f t="shared" si="1"/>
        <v>120000.00000068854</v>
      </c>
      <c r="G31" s="54">
        <f t="shared" si="2"/>
        <v>2189226.540481843</v>
      </c>
      <c r="H31" s="54">
        <f t="shared" si="3"/>
        <v>0</v>
      </c>
      <c r="I31" s="55">
        <f>$I$6*'[1]KiGem - modifizierte Zahl'!I28</f>
        <v>437750.00000163255</v>
      </c>
      <c r="J31" s="54">
        <f t="shared" si="4"/>
        <v>0</v>
      </c>
      <c r="K31" s="54">
        <f>$K$6*'[1]Zuschläge'!C28</f>
        <v>0</v>
      </c>
      <c r="L31" s="54">
        <f>$L$6*'[1]Zuschläge'!D28</f>
        <v>0</v>
      </c>
      <c r="M31" s="54">
        <f>$M$6*'[1]Zuschläge'!E28</f>
        <v>0</v>
      </c>
      <c r="N31" s="54">
        <f>$N$6*'[1]Zuschläge'!F28</f>
        <v>0</v>
      </c>
      <c r="O31" s="50">
        <f t="shared" si="5"/>
        <v>2746976.5404841644</v>
      </c>
      <c r="P31" s="56">
        <f>$P$6*'[1]Zuschläge'!G28</f>
        <v>0</v>
      </c>
      <c r="Q31" s="57">
        <f t="shared" si="6"/>
        <v>2746976.5404841644</v>
      </c>
      <c r="R31" s="58">
        <f t="shared" si="7"/>
        <v>2420790.6622872977</v>
      </c>
      <c r="S31" s="57">
        <f>R31/$R$58*'[1]Kriterien - prozentuale Anteile'!$B$3</f>
        <v>2432777.4863607893</v>
      </c>
      <c r="T31" s="56">
        <f t="shared" si="8"/>
        <v>2298974.7246109457</v>
      </c>
      <c r="U31" s="57">
        <f t="shared" si="9"/>
        <v>151083.70972662905</v>
      </c>
      <c r="V31" s="50">
        <f t="shared" si="10"/>
        <v>2450058.4343375745</v>
      </c>
      <c r="W31" s="59">
        <f>V31/$V$58*'[1]Kriterien - prozentuale Anteile'!$B$3</f>
        <v>2450058.4343375755</v>
      </c>
      <c r="X31" s="60" t="s">
        <v>73</v>
      </c>
    </row>
    <row r="32" spans="1:24" ht="12.75">
      <c r="A32" s="49" t="s">
        <v>74</v>
      </c>
      <c r="B32" s="50">
        <v>1333280.41</v>
      </c>
      <c r="C32" s="51">
        <v>16553</v>
      </c>
      <c r="D32" s="52">
        <f t="shared" si="0"/>
        <v>80.54614933848849</v>
      </c>
      <c r="E32" s="53">
        <v>16579</v>
      </c>
      <c r="F32" s="54">
        <f t="shared" si="1"/>
        <v>120000.00000068854</v>
      </c>
      <c r="G32" s="54">
        <f t="shared" si="2"/>
        <v>906676.9956945487</v>
      </c>
      <c r="H32" s="54">
        <f t="shared" si="3"/>
        <v>0</v>
      </c>
      <c r="I32" s="55">
        <f>$I$6*'[1]KiGem - modifizierte Zahl'!I29</f>
        <v>297500.0000011095</v>
      </c>
      <c r="J32" s="54">
        <f t="shared" si="4"/>
        <v>0</v>
      </c>
      <c r="K32" s="54">
        <f>$K$6*'[1]Zuschläge'!C29</f>
        <v>0</v>
      </c>
      <c r="L32" s="54">
        <f>$L$6*'[1]Zuschläge'!D29</f>
        <v>0</v>
      </c>
      <c r="M32" s="54">
        <f>$M$6*'[1]Zuschläge'!E29</f>
        <v>0</v>
      </c>
      <c r="N32" s="54">
        <f>$N$6*'[1]Zuschläge'!F29</f>
        <v>0</v>
      </c>
      <c r="O32" s="50">
        <f t="shared" si="5"/>
        <v>1324176.9956963467</v>
      </c>
      <c r="P32" s="56">
        <f>$P$6*'[1]Zuschläge'!G29</f>
        <v>0</v>
      </c>
      <c r="Q32" s="57">
        <f t="shared" si="6"/>
        <v>1324176.9956963467</v>
      </c>
      <c r="R32" s="58">
        <f t="shared" si="7"/>
        <v>1335374.6098828006</v>
      </c>
      <c r="S32" s="57">
        <f>R32/$R$58*'[1]Kriterien - prozentuale Anteile'!$B$3</f>
        <v>1341986.8712279217</v>
      </c>
      <c r="T32" s="56">
        <f t="shared" si="8"/>
        <v>1268177.593310386</v>
      </c>
      <c r="U32" s="57">
        <f t="shared" si="9"/>
        <v>72829.73476329907</v>
      </c>
      <c r="V32" s="50">
        <f t="shared" si="10"/>
        <v>1341007.328073685</v>
      </c>
      <c r="W32" s="59">
        <f>V32/$V$58*'[1]Kriterien - prozentuale Anteile'!$B$3</f>
        <v>1341007.3280736855</v>
      </c>
      <c r="X32" s="60" t="s">
        <v>74</v>
      </c>
    </row>
    <row r="33" spans="1:24" ht="12.75">
      <c r="A33" s="49" t="s">
        <v>75</v>
      </c>
      <c r="B33" s="50">
        <v>2978997.58</v>
      </c>
      <c r="C33" s="51">
        <v>49008</v>
      </c>
      <c r="D33" s="52">
        <f t="shared" si="0"/>
        <v>60.78594474371531</v>
      </c>
      <c r="E33" s="53">
        <v>48621</v>
      </c>
      <c r="F33" s="54">
        <f t="shared" si="1"/>
        <v>120000.00000068854</v>
      </c>
      <c r="G33" s="54">
        <f t="shared" si="2"/>
        <v>2658998.866497657</v>
      </c>
      <c r="H33" s="54">
        <f t="shared" si="3"/>
        <v>0</v>
      </c>
      <c r="I33" s="55">
        <f>$I$6*'[1]KiGem - modifizierte Zahl'!I30</f>
        <v>425000.000001585</v>
      </c>
      <c r="J33" s="54">
        <f t="shared" si="4"/>
        <v>0</v>
      </c>
      <c r="K33" s="54">
        <f>$K$6*'[1]Zuschläge'!C30</f>
        <v>0</v>
      </c>
      <c r="L33" s="54">
        <f>$L$6*'[1]Zuschläge'!D30</f>
        <v>0</v>
      </c>
      <c r="M33" s="54">
        <f>$M$6*'[1]Zuschläge'!E30</f>
        <v>0</v>
      </c>
      <c r="N33" s="54">
        <f>$N$6*'[1]Zuschläge'!F30</f>
        <v>0</v>
      </c>
      <c r="O33" s="50">
        <f t="shared" si="5"/>
        <v>3203998.8664999306</v>
      </c>
      <c r="P33" s="56">
        <f>$P$6*'[1]Zuschläge'!G30</f>
        <v>0</v>
      </c>
      <c r="Q33" s="57">
        <f t="shared" si="6"/>
        <v>3203998.8664999306</v>
      </c>
      <c r="R33" s="58">
        <f t="shared" si="7"/>
        <v>2955473.4193841824</v>
      </c>
      <c r="S33" s="57">
        <f>R33/$R$58*'[1]Kriterien - prozentuale Anteile'!$B$3</f>
        <v>2970107.786776597</v>
      </c>
      <c r="T33" s="56">
        <f t="shared" si="8"/>
        <v>2806751.858503884</v>
      </c>
      <c r="U33" s="57">
        <f t="shared" si="9"/>
        <v>176219.9376574962</v>
      </c>
      <c r="V33" s="50">
        <f t="shared" si="10"/>
        <v>2982971.7961613806</v>
      </c>
      <c r="W33" s="59">
        <f>V33/$V$58*'[1]Kriterien - prozentuale Anteile'!$B$3</f>
        <v>2982971.7961613815</v>
      </c>
      <c r="X33" s="60" t="s">
        <v>75</v>
      </c>
    </row>
    <row r="34" spans="1:24" ht="12.75">
      <c r="A34" s="49" t="s">
        <v>76</v>
      </c>
      <c r="B34" s="50">
        <v>5175994.6</v>
      </c>
      <c r="C34" s="51">
        <v>72822</v>
      </c>
      <c r="D34" s="52">
        <f t="shared" si="0"/>
        <v>71.0773475048749</v>
      </c>
      <c r="E34" s="53">
        <v>72210</v>
      </c>
      <c r="F34" s="54">
        <f t="shared" si="1"/>
        <v>120000.00000068854</v>
      </c>
      <c r="G34" s="54">
        <f t="shared" si="2"/>
        <v>3949040.7056579627</v>
      </c>
      <c r="H34" s="54">
        <f t="shared" si="3"/>
        <v>244200</v>
      </c>
      <c r="I34" s="55">
        <f>$I$6*'[1]KiGem - modifizierte Zahl'!I31</f>
        <v>578000.0000021555</v>
      </c>
      <c r="J34" s="54">
        <f t="shared" si="4"/>
        <v>0</v>
      </c>
      <c r="K34" s="54">
        <f>$K$6*'[1]Zuschläge'!C31</f>
        <v>0</v>
      </c>
      <c r="L34" s="54">
        <f>$L$6*'[1]Zuschläge'!D31</f>
        <v>0</v>
      </c>
      <c r="M34" s="54">
        <f>$M$6*'[1]Zuschläge'!E31</f>
        <v>300000.0000002925</v>
      </c>
      <c r="N34" s="54">
        <f>$N$6*'[1]Zuschläge'!F31</f>
        <v>0</v>
      </c>
      <c r="O34" s="50">
        <f t="shared" si="5"/>
        <v>5191240.705661099</v>
      </c>
      <c r="P34" s="56">
        <f>$P$6*'[1]Zuschläge'!G31</f>
        <v>0</v>
      </c>
      <c r="Q34" s="57">
        <f t="shared" si="6"/>
        <v>5191240.705661099</v>
      </c>
      <c r="R34" s="58">
        <f t="shared" si="7"/>
        <v>5132495.2633270165</v>
      </c>
      <c r="S34" s="57">
        <f>R34/$R$58*'[1]Kriterien - prozentuale Anteile'!$B$3</f>
        <v>5157909.40538315</v>
      </c>
      <c r="T34" s="56">
        <f t="shared" si="8"/>
        <v>4874224.388087076</v>
      </c>
      <c r="U34" s="57">
        <f t="shared" si="9"/>
        <v>285518.2388113605</v>
      </c>
      <c r="V34" s="50">
        <f t="shared" si="10"/>
        <v>5159742.626898437</v>
      </c>
      <c r="W34" s="59">
        <f>V34/$V$58*'[1]Kriterien - prozentuale Anteile'!$B$3</f>
        <v>5159742.626898439</v>
      </c>
      <c r="X34" s="60" t="s">
        <v>76</v>
      </c>
    </row>
    <row r="35" spans="1:24" ht="12.75">
      <c r="A35" s="49" t="s">
        <v>77</v>
      </c>
      <c r="B35" s="50">
        <v>2549755.28</v>
      </c>
      <c r="C35" s="51">
        <v>43702</v>
      </c>
      <c r="D35" s="52">
        <f t="shared" si="0"/>
        <v>58.34413253398014</v>
      </c>
      <c r="E35" s="53">
        <v>43607</v>
      </c>
      <c r="F35" s="54">
        <f t="shared" si="1"/>
        <v>120000.00000068854</v>
      </c>
      <c r="G35" s="54">
        <f t="shared" si="2"/>
        <v>2384791.830101465</v>
      </c>
      <c r="H35" s="54">
        <f t="shared" si="3"/>
        <v>0</v>
      </c>
      <c r="I35" s="55">
        <f>$I$6*'[1]KiGem - modifizierte Zahl'!I32</f>
        <v>382500.0000014265</v>
      </c>
      <c r="J35" s="54">
        <f t="shared" si="4"/>
        <v>0</v>
      </c>
      <c r="K35" s="54">
        <f>$K$6*'[1]Zuschläge'!C32</f>
        <v>0</v>
      </c>
      <c r="L35" s="54">
        <f>$L$6*'[1]Zuschläge'!D32</f>
        <v>0</v>
      </c>
      <c r="M35" s="54">
        <f>$M$6*'[1]Zuschläge'!E32</f>
        <v>0</v>
      </c>
      <c r="N35" s="54">
        <f>$N$6*'[1]Zuschläge'!F32</f>
        <v>0</v>
      </c>
      <c r="O35" s="50">
        <f t="shared" si="5"/>
        <v>2887291.83010358</v>
      </c>
      <c r="P35" s="56">
        <f>$P$6*'[1]Zuschläge'!G32</f>
        <v>0</v>
      </c>
      <c r="Q35" s="57">
        <f t="shared" si="6"/>
        <v>2887291.83010358</v>
      </c>
      <c r="R35" s="58">
        <f t="shared" si="7"/>
        <v>2544212.587409272</v>
      </c>
      <c r="S35" s="57">
        <f>R35/$R$58*'[1]Kriterien - prozentuale Anteile'!$B$3</f>
        <v>2556810.5493751457</v>
      </c>
      <c r="T35" s="56">
        <f t="shared" si="8"/>
        <v>2416185.969159513</v>
      </c>
      <c r="U35" s="57">
        <f t="shared" si="9"/>
        <v>158801.0506556969</v>
      </c>
      <c r="V35" s="50">
        <f t="shared" si="10"/>
        <v>2574987.01981521</v>
      </c>
      <c r="W35" s="59">
        <f>V35/$V$58*'[1]Kriterien - prozentuale Anteile'!$B$3</f>
        <v>2574987.0198152107</v>
      </c>
      <c r="X35" s="60" t="s">
        <v>77</v>
      </c>
    </row>
    <row r="36" spans="1:24" ht="12.75">
      <c r="A36" s="49" t="s">
        <v>78</v>
      </c>
      <c r="B36" s="50">
        <v>2524603.04</v>
      </c>
      <c r="C36" s="51">
        <v>37258</v>
      </c>
      <c r="D36" s="52">
        <f t="shared" si="0"/>
        <v>67.76002576627839</v>
      </c>
      <c r="E36" s="53">
        <v>37151</v>
      </c>
      <c r="F36" s="54">
        <f t="shared" si="1"/>
        <v>120000.00000068854</v>
      </c>
      <c r="G36" s="54">
        <f t="shared" si="2"/>
        <v>2031724.2938083224</v>
      </c>
      <c r="H36" s="54">
        <f t="shared" si="3"/>
        <v>0</v>
      </c>
      <c r="I36" s="55">
        <f>$I$6*'[1]KiGem - modifizierte Zahl'!I33</f>
        <v>463250.0000017276</v>
      </c>
      <c r="J36" s="54">
        <f t="shared" si="4"/>
        <v>0</v>
      </c>
      <c r="K36" s="54">
        <f>$K$6*'[1]Zuschläge'!C33</f>
        <v>0</v>
      </c>
      <c r="L36" s="54">
        <f>$L$6*'[1]Zuschläge'!D33</f>
        <v>0</v>
      </c>
      <c r="M36" s="54">
        <f>$M$6*'[1]Zuschläge'!E33</f>
        <v>0</v>
      </c>
      <c r="N36" s="54">
        <f>$N$6*'[1]Zuschläge'!F33</f>
        <v>0</v>
      </c>
      <c r="O36" s="50">
        <f t="shared" si="5"/>
        <v>2614974.2938107387</v>
      </c>
      <c r="P36" s="56">
        <f>$P$6*'[1]Zuschläge'!G33</f>
        <v>0</v>
      </c>
      <c r="Q36" s="57">
        <f t="shared" si="6"/>
        <v>2614974.2938107387</v>
      </c>
      <c r="R36" s="58">
        <f t="shared" si="7"/>
        <v>2517352.7172430083</v>
      </c>
      <c r="S36" s="57">
        <f>R36/$R$58*'[1]Kriterien - prozentuale Anteile'!$B$3</f>
        <v>2529817.6794648995</v>
      </c>
      <c r="T36" s="56">
        <f t="shared" si="8"/>
        <v>2390677.70709433</v>
      </c>
      <c r="U36" s="57">
        <f t="shared" si="9"/>
        <v>143823.58615959063</v>
      </c>
      <c r="V36" s="50">
        <f t="shared" si="10"/>
        <v>2534501.2932539205</v>
      </c>
      <c r="W36" s="59">
        <f>V36/$V$58*'[1]Kriterien - prozentuale Anteile'!$B$3</f>
        <v>2534501.2932539214</v>
      </c>
      <c r="X36" s="60" t="s">
        <v>78</v>
      </c>
    </row>
    <row r="37" spans="1:24" ht="12.75">
      <c r="A37" s="49" t="s">
        <v>79</v>
      </c>
      <c r="B37" s="50">
        <v>1714767.31</v>
      </c>
      <c r="C37" s="51">
        <v>23731</v>
      </c>
      <c r="D37" s="52">
        <f t="shared" si="0"/>
        <v>72.25853567064178</v>
      </c>
      <c r="E37" s="53">
        <v>23715</v>
      </c>
      <c r="F37" s="54">
        <f t="shared" si="1"/>
        <v>120000.00000068854</v>
      </c>
      <c r="G37" s="54">
        <f t="shared" si="2"/>
        <v>1296932.5624522723</v>
      </c>
      <c r="H37" s="54">
        <f t="shared" si="3"/>
        <v>0</v>
      </c>
      <c r="I37" s="55">
        <f>$I$6*'[1]KiGem - modifizierte Zahl'!I34</f>
        <v>467500.0000017435</v>
      </c>
      <c r="J37" s="54">
        <f t="shared" si="4"/>
        <v>0</v>
      </c>
      <c r="K37" s="54">
        <f>$K$6*'[1]Zuschläge'!C34</f>
        <v>0</v>
      </c>
      <c r="L37" s="54">
        <f>$L$6*'[1]Zuschläge'!D34</f>
        <v>0</v>
      </c>
      <c r="M37" s="54">
        <f>$M$6*'[1]Zuschläge'!E34</f>
        <v>0</v>
      </c>
      <c r="N37" s="54">
        <f>$N$6*'[1]Zuschläge'!F34</f>
        <v>0</v>
      </c>
      <c r="O37" s="50">
        <f t="shared" si="5"/>
        <v>1884432.5624547042</v>
      </c>
      <c r="P37" s="56">
        <f>$P$6*'[1]Zuschläge'!G34</f>
        <v>0</v>
      </c>
      <c r="Q37" s="57">
        <f t="shared" si="6"/>
        <v>1884432.5624547042</v>
      </c>
      <c r="R37" s="58">
        <f t="shared" si="7"/>
        <v>1713611.1734292698</v>
      </c>
      <c r="S37" s="57">
        <f>R37/$R$58*'[1]Kriterien - prozentuale Anteile'!$B$3</f>
        <v>1722096.316728219</v>
      </c>
      <c r="T37" s="56">
        <f t="shared" si="8"/>
        <v>1627381.0193081668</v>
      </c>
      <c r="U37" s="57">
        <f t="shared" si="9"/>
        <v>103643.79093500873</v>
      </c>
      <c r="V37" s="50">
        <f t="shared" si="10"/>
        <v>1731024.8102431756</v>
      </c>
      <c r="W37" s="59">
        <f>V37/$V$58*'[1]Kriterien - prozentuale Anteile'!$B$3</f>
        <v>1731024.8102431763</v>
      </c>
      <c r="X37" s="60" t="s">
        <v>79</v>
      </c>
    </row>
    <row r="38" spans="1:24" ht="12.75">
      <c r="A38" s="49" t="s">
        <v>80</v>
      </c>
      <c r="B38" s="50">
        <v>2572412.11</v>
      </c>
      <c r="C38" s="51">
        <v>33852</v>
      </c>
      <c r="D38" s="52">
        <f t="shared" si="0"/>
        <v>75.9899595297176</v>
      </c>
      <c r="E38" s="53">
        <v>33732</v>
      </c>
      <c r="F38" s="54">
        <f t="shared" si="1"/>
        <v>120000.00000068854</v>
      </c>
      <c r="G38" s="54">
        <f t="shared" si="2"/>
        <v>1844745.0641636115</v>
      </c>
      <c r="H38" s="54">
        <f t="shared" si="3"/>
        <v>0</v>
      </c>
      <c r="I38" s="55">
        <f>$I$6*'[1]KiGem - modifizierte Zahl'!I35</f>
        <v>561000.0000020922</v>
      </c>
      <c r="J38" s="54">
        <f t="shared" si="4"/>
        <v>0</v>
      </c>
      <c r="K38" s="54">
        <f>$K$6*'[1]Zuschläge'!C35</f>
        <v>0</v>
      </c>
      <c r="L38" s="54">
        <f>$L$6*'[1]Zuschläge'!D35</f>
        <v>0</v>
      </c>
      <c r="M38" s="54">
        <f>$M$6*'[1]Zuschläge'!E35</f>
        <v>0</v>
      </c>
      <c r="N38" s="54">
        <f>$N$6*'[1]Zuschläge'!F35</f>
        <v>0</v>
      </c>
      <c r="O38" s="50">
        <f t="shared" si="5"/>
        <v>2525745.064166392</v>
      </c>
      <c r="P38" s="56">
        <f>$P$6*'[1]Zuschläge'!G35</f>
        <v>0</v>
      </c>
      <c r="Q38" s="57">
        <f t="shared" si="6"/>
        <v>2525745.064166392</v>
      </c>
      <c r="R38" s="58">
        <f t="shared" si="7"/>
        <v>2563293.314856434</v>
      </c>
      <c r="S38" s="57">
        <f>R38/$R$58*'[1]Kriterien - prozentuale Anteile'!$B$3</f>
        <v>2575985.757244207</v>
      </c>
      <c r="T38" s="56">
        <f t="shared" si="8"/>
        <v>2434306.5405957755</v>
      </c>
      <c r="U38" s="57">
        <f t="shared" si="9"/>
        <v>138915.97852915156</v>
      </c>
      <c r="V38" s="50">
        <f t="shared" si="10"/>
        <v>2573222.519124927</v>
      </c>
      <c r="W38" s="59">
        <f>V38/$V$58*'[1]Kriterien - prozentuale Anteile'!$B$3</f>
        <v>2573222.519124928</v>
      </c>
      <c r="X38" s="60" t="s">
        <v>80</v>
      </c>
    </row>
    <row r="39" spans="1:24" ht="12.75">
      <c r="A39" s="49" t="s">
        <v>81</v>
      </c>
      <c r="B39" s="50">
        <v>2537819.67</v>
      </c>
      <c r="C39" s="51">
        <v>35989</v>
      </c>
      <c r="D39" s="52">
        <f aca="true" t="shared" si="11" ref="D39:D58">B39/C39</f>
        <v>70.51653755314123</v>
      </c>
      <c r="E39" s="53">
        <v>35809</v>
      </c>
      <c r="F39" s="54">
        <f aca="true" t="shared" si="12" ref="F39:F57">$F$6</f>
        <v>120000.00000068854</v>
      </c>
      <c r="G39" s="54">
        <f aca="true" t="shared" si="13" ref="G39:G57">$G$6*E39</f>
        <v>1958332.6219208695</v>
      </c>
      <c r="H39" s="54">
        <f aca="true" t="shared" si="14" ref="H39:H57">IF(E39&lt;60001,0,(E39-60000)*$H$6)</f>
        <v>0</v>
      </c>
      <c r="I39" s="55">
        <f>$I$6*'[1]KiGem - modifizierte Zahl'!I36</f>
        <v>501500.00000187027</v>
      </c>
      <c r="J39" s="54">
        <f aca="true" t="shared" si="15" ref="J39:J57">IF(A39="Stuttgart",$J$6,0)</f>
        <v>0</v>
      </c>
      <c r="K39" s="54">
        <f>$K$6*'[1]Zuschläge'!C36</f>
        <v>0</v>
      </c>
      <c r="L39" s="54">
        <f>$L$6*'[1]Zuschläge'!D36</f>
        <v>0</v>
      </c>
      <c r="M39" s="54">
        <f>$M$6*'[1]Zuschläge'!E36</f>
        <v>0</v>
      </c>
      <c r="N39" s="54">
        <f>$N$6*'[1]Zuschläge'!F36</f>
        <v>0</v>
      </c>
      <c r="O39" s="50">
        <f aca="true" t="shared" si="16" ref="O39:O57">SUM(F39:N39)</f>
        <v>2579832.621923428</v>
      </c>
      <c r="P39" s="56">
        <f>$P$6*'[1]Zuschläge'!G36</f>
        <v>0</v>
      </c>
      <c r="Q39" s="57">
        <f aca="true" t="shared" si="17" ref="Q39:Q58">SUM(O39:P39)</f>
        <v>2579832.621923428</v>
      </c>
      <c r="R39" s="58">
        <f aca="true" t="shared" si="18" ref="R39:R57">E39/C39*B39</f>
        <v>2525126.6932404344</v>
      </c>
      <c r="S39" s="57">
        <f>R39/$R$58*'[1]Kriterien - prozentuale Anteile'!$B$3</f>
        <v>2537630.1492007906</v>
      </c>
      <c r="T39" s="56">
        <f aca="true" t="shared" si="19" ref="T39:T57">0.945*S39</f>
        <v>2398060.490994747</v>
      </c>
      <c r="U39" s="57">
        <f aca="true" t="shared" si="20" ref="U39:U57">0.055*Q39</f>
        <v>141890.79420578855</v>
      </c>
      <c r="V39" s="50">
        <f aca="true" t="shared" si="21" ref="V39:V57">T39+U39</f>
        <v>2539951.2852005353</v>
      </c>
      <c r="W39" s="59">
        <f>V39/$V$58*'[1]Kriterien - prozentuale Anteile'!$B$3</f>
        <v>2539951.2852005363</v>
      </c>
      <c r="X39" s="60" t="s">
        <v>81</v>
      </c>
    </row>
    <row r="40" spans="1:24" ht="12.75">
      <c r="A40" s="49" t="s">
        <v>82</v>
      </c>
      <c r="B40" s="50">
        <v>2100689.95</v>
      </c>
      <c r="C40" s="51">
        <v>33545</v>
      </c>
      <c r="D40" s="52">
        <f t="shared" si="11"/>
        <v>62.623042182143394</v>
      </c>
      <c r="E40" s="53">
        <v>33596</v>
      </c>
      <c r="F40" s="54">
        <f t="shared" si="12"/>
        <v>120000.00000068854</v>
      </c>
      <c r="G40" s="54">
        <f t="shared" si="13"/>
        <v>1837307.4580706954</v>
      </c>
      <c r="H40" s="54">
        <f t="shared" si="14"/>
        <v>0</v>
      </c>
      <c r="I40" s="55">
        <f>$I$6*'[1]KiGem - modifizierte Zahl'!I37</f>
        <v>412250.00000153744</v>
      </c>
      <c r="J40" s="54">
        <f t="shared" si="15"/>
        <v>0</v>
      </c>
      <c r="K40" s="54">
        <f>$K$6*'[1]Zuschläge'!C37</f>
        <v>0</v>
      </c>
      <c r="L40" s="54">
        <f>$L$6*'[1]Zuschläge'!D37</f>
        <v>0</v>
      </c>
      <c r="M40" s="54">
        <f>$M$6*'[1]Zuschläge'!E37</f>
        <v>0</v>
      </c>
      <c r="N40" s="54">
        <f>$N$6*'[1]Zuschläge'!F37</f>
        <v>0</v>
      </c>
      <c r="O40" s="50">
        <f t="shared" si="16"/>
        <v>2369557.4580729213</v>
      </c>
      <c r="P40" s="56">
        <f>$P$6*'[1]Zuschläge'!G37</f>
        <v>0</v>
      </c>
      <c r="Q40" s="57">
        <f t="shared" si="17"/>
        <v>2369557.4580729213</v>
      </c>
      <c r="R40" s="58">
        <f t="shared" si="18"/>
        <v>2103883.7251512897</v>
      </c>
      <c r="S40" s="57">
        <f>R40/$R$58*'[1]Kriterien - prozentuale Anteile'!$B$3</f>
        <v>2114301.347987228</v>
      </c>
      <c r="T40" s="56">
        <f t="shared" si="19"/>
        <v>1998014.7738479304</v>
      </c>
      <c r="U40" s="57">
        <f t="shared" si="20"/>
        <v>130325.66019401066</v>
      </c>
      <c r="V40" s="50">
        <f t="shared" si="21"/>
        <v>2128340.434041941</v>
      </c>
      <c r="W40" s="59">
        <f>V40/$V$58*'[1]Kriterien - prozentuale Anteile'!$B$3</f>
        <v>2128340.434041942</v>
      </c>
      <c r="X40" s="60" t="s">
        <v>82</v>
      </c>
    </row>
    <row r="41" spans="1:24" ht="12.75">
      <c r="A41" s="49" t="s">
        <v>83</v>
      </c>
      <c r="B41" s="50">
        <v>3355350.22</v>
      </c>
      <c r="C41" s="51">
        <v>56665</v>
      </c>
      <c r="D41" s="52">
        <f t="shared" si="11"/>
        <v>59.21380428836142</v>
      </c>
      <c r="E41" s="53">
        <v>56368</v>
      </c>
      <c r="F41" s="54">
        <f t="shared" si="12"/>
        <v>120000.00000068854</v>
      </c>
      <c r="G41" s="54">
        <f t="shared" si="13"/>
        <v>3082668.9723934084</v>
      </c>
      <c r="H41" s="54">
        <f t="shared" si="14"/>
        <v>0</v>
      </c>
      <c r="I41" s="55">
        <f>$I$6*'[1]KiGem - modifizierte Zahl'!I38</f>
        <v>548250.0000020446</v>
      </c>
      <c r="J41" s="54">
        <f t="shared" si="15"/>
        <v>0</v>
      </c>
      <c r="K41" s="54">
        <f>$K$6*'[1]Zuschläge'!C38</f>
        <v>0</v>
      </c>
      <c r="L41" s="54">
        <f>$L$6*'[1]Zuschläge'!D38</f>
        <v>0</v>
      </c>
      <c r="M41" s="54">
        <f>$M$6*'[1]Zuschläge'!E38</f>
        <v>0</v>
      </c>
      <c r="N41" s="54">
        <f>$N$6*'[1]Zuschläge'!F38</f>
        <v>0</v>
      </c>
      <c r="O41" s="50">
        <f t="shared" si="16"/>
        <v>3750918.972396142</v>
      </c>
      <c r="P41" s="56">
        <f>$P$6*'[1]Zuschläge'!G38</f>
        <v>0</v>
      </c>
      <c r="Q41" s="57">
        <f t="shared" si="17"/>
        <v>3750918.972396142</v>
      </c>
      <c r="R41" s="58">
        <f t="shared" si="18"/>
        <v>3337763.720126357</v>
      </c>
      <c r="S41" s="57">
        <f>R41/$R$58*'[1]Kriterien - prozentuale Anteile'!$B$3</f>
        <v>3354291.0420197067</v>
      </c>
      <c r="T41" s="56">
        <f t="shared" si="19"/>
        <v>3169805.034708623</v>
      </c>
      <c r="U41" s="57">
        <f t="shared" si="20"/>
        <v>206300.5434817878</v>
      </c>
      <c r="V41" s="50">
        <f t="shared" si="21"/>
        <v>3376105.5781904105</v>
      </c>
      <c r="W41" s="59">
        <f>V41/$V$58*'[1]Kriterien - prozentuale Anteile'!$B$3</f>
        <v>3376105.578190412</v>
      </c>
      <c r="X41" s="60" t="s">
        <v>83</v>
      </c>
    </row>
    <row r="42" spans="1:24" ht="12.75">
      <c r="A42" s="49" t="s">
        <v>84</v>
      </c>
      <c r="B42" s="50">
        <v>1975782.98</v>
      </c>
      <c r="C42" s="51">
        <v>30746</v>
      </c>
      <c r="D42" s="52">
        <f t="shared" si="11"/>
        <v>64.2614642555129</v>
      </c>
      <c r="E42" s="53">
        <v>30644</v>
      </c>
      <c r="F42" s="54">
        <f t="shared" si="12"/>
        <v>120000.00000068854</v>
      </c>
      <c r="G42" s="54">
        <f t="shared" si="13"/>
        <v>1675867.6552303366</v>
      </c>
      <c r="H42" s="54">
        <f t="shared" si="14"/>
        <v>0</v>
      </c>
      <c r="I42" s="55">
        <f>$I$6*'[1]KiGem - modifizierte Zahl'!I39</f>
        <v>378250.0000014106</v>
      </c>
      <c r="J42" s="54">
        <f t="shared" si="15"/>
        <v>0</v>
      </c>
      <c r="K42" s="54">
        <f>$K$6*'[1]Zuschläge'!C39</f>
        <v>0</v>
      </c>
      <c r="L42" s="54">
        <f>$L$6*'[1]Zuschläge'!D39</f>
        <v>0</v>
      </c>
      <c r="M42" s="54">
        <f>$M$6*'[1]Zuschläge'!E39</f>
        <v>0</v>
      </c>
      <c r="N42" s="54">
        <f>$N$6*'[1]Zuschläge'!F39</f>
        <v>0</v>
      </c>
      <c r="O42" s="50">
        <f t="shared" si="16"/>
        <v>2174117.6552324356</v>
      </c>
      <c r="P42" s="56">
        <f>$P$6*'[1]Zuschläge'!G39</f>
        <v>0</v>
      </c>
      <c r="Q42" s="57">
        <f t="shared" si="17"/>
        <v>2174117.6552324356</v>
      </c>
      <c r="R42" s="58">
        <f t="shared" si="18"/>
        <v>1969228.3106459377</v>
      </c>
      <c r="S42" s="57">
        <f>R42/$R$58*'[1]Kriterien - prozentuale Anteile'!$B$3</f>
        <v>1978979.171671628</v>
      </c>
      <c r="T42" s="56">
        <f t="shared" si="19"/>
        <v>1870135.3172296884</v>
      </c>
      <c r="U42" s="57">
        <f t="shared" si="20"/>
        <v>119576.47103778395</v>
      </c>
      <c r="V42" s="50">
        <f t="shared" si="21"/>
        <v>1989711.7882674723</v>
      </c>
      <c r="W42" s="59">
        <f>V42/$V$58*'[1]Kriterien - prozentuale Anteile'!$B$3</f>
        <v>1989711.788267473</v>
      </c>
      <c r="X42" s="60" t="s">
        <v>84</v>
      </c>
    </row>
    <row r="43" spans="1:24" ht="12.75">
      <c r="A43" s="49" t="s">
        <v>85</v>
      </c>
      <c r="B43" s="50">
        <v>4129822.02</v>
      </c>
      <c r="C43" s="51">
        <v>63299</v>
      </c>
      <c r="D43" s="52">
        <f t="shared" si="11"/>
        <v>65.24308472487716</v>
      </c>
      <c r="E43" s="53">
        <v>63453</v>
      </c>
      <c r="F43" s="54">
        <f t="shared" si="12"/>
        <v>120000.00000068854</v>
      </c>
      <c r="G43" s="54">
        <f t="shared" si="13"/>
        <v>3470135.4368662885</v>
      </c>
      <c r="H43" s="54">
        <f t="shared" si="14"/>
        <v>69060</v>
      </c>
      <c r="I43" s="55">
        <f>$I$6*'[1]KiGem - modifizierte Zahl'!I40</f>
        <v>569500.0000021239</v>
      </c>
      <c r="J43" s="54">
        <f t="shared" si="15"/>
        <v>0</v>
      </c>
      <c r="K43" s="54">
        <f>$K$6*'[1]Zuschläge'!C40</f>
        <v>0</v>
      </c>
      <c r="L43" s="54">
        <f>$L$6*'[1]Zuschläge'!D40</f>
        <v>0</v>
      </c>
      <c r="M43" s="54">
        <f>$M$6*'[1]Zuschläge'!E40</f>
        <v>0</v>
      </c>
      <c r="N43" s="54">
        <f>$N$6*'[1]Zuschläge'!F40</f>
        <v>300000.0000367279</v>
      </c>
      <c r="O43" s="50">
        <f t="shared" si="16"/>
        <v>4528695.436905829</v>
      </c>
      <c r="P43" s="56">
        <f>$P$6*'[1]Zuschläge'!G40</f>
        <v>0</v>
      </c>
      <c r="Q43" s="57">
        <f t="shared" si="17"/>
        <v>4528695.436905829</v>
      </c>
      <c r="R43" s="58">
        <f t="shared" si="18"/>
        <v>4139869.455047631</v>
      </c>
      <c r="S43" s="57">
        <f>R43/$R$58*'[1]Kriterien - prozentuale Anteile'!$B$3</f>
        <v>4160368.4959675884</v>
      </c>
      <c r="T43" s="56">
        <f t="shared" si="19"/>
        <v>3931548.2286893707</v>
      </c>
      <c r="U43" s="57">
        <f t="shared" si="20"/>
        <v>249078.2490298206</v>
      </c>
      <c r="V43" s="50">
        <f t="shared" si="21"/>
        <v>4180626.4777191915</v>
      </c>
      <c r="W43" s="59">
        <f>V43/$V$58*'[1]Kriterien - prozentuale Anteile'!$B$3</f>
        <v>4180626.477719193</v>
      </c>
      <c r="X43" s="60" t="s">
        <v>85</v>
      </c>
    </row>
    <row r="44" spans="1:24" ht="12.75">
      <c r="A44" s="49" t="s">
        <v>86</v>
      </c>
      <c r="B44" s="50">
        <v>5463628.07</v>
      </c>
      <c r="C44" s="51">
        <v>77297</v>
      </c>
      <c r="D44" s="52">
        <f t="shared" si="11"/>
        <v>70.68357206618627</v>
      </c>
      <c r="E44" s="53">
        <v>76857</v>
      </c>
      <c r="F44" s="54">
        <f t="shared" si="12"/>
        <v>120000.00000068854</v>
      </c>
      <c r="G44" s="54">
        <f t="shared" si="13"/>
        <v>4203177.1432593</v>
      </c>
      <c r="H44" s="54">
        <f t="shared" si="14"/>
        <v>337140</v>
      </c>
      <c r="I44" s="55">
        <f>$I$6*'[1]KiGem - modifizierte Zahl'!I41</f>
        <v>671500.0000025042</v>
      </c>
      <c r="J44" s="54">
        <f t="shared" si="15"/>
        <v>0</v>
      </c>
      <c r="K44" s="54">
        <f>$K$6*'[1]Zuschläge'!C41</f>
        <v>0</v>
      </c>
      <c r="L44" s="54">
        <f>$L$6*'[1]Zuschläge'!D41</f>
        <v>499999.9999761973</v>
      </c>
      <c r="M44" s="54">
        <f>$M$6*'[1]Zuschläge'!E41</f>
        <v>0</v>
      </c>
      <c r="N44" s="54">
        <f>$N$6*'[1]Zuschläge'!F41</f>
        <v>0</v>
      </c>
      <c r="O44" s="50">
        <f t="shared" si="16"/>
        <v>5831817.14323869</v>
      </c>
      <c r="P44" s="56">
        <f>$P$6*'[1]Zuschläge'!G41</f>
        <v>0</v>
      </c>
      <c r="Q44" s="57">
        <f t="shared" si="17"/>
        <v>5831817.14323869</v>
      </c>
      <c r="R44" s="58">
        <f t="shared" si="18"/>
        <v>5432527.2982908785</v>
      </c>
      <c r="S44" s="57">
        <f>R44/$R$58*'[1]Kriterien - prozentuale Anteile'!$B$3</f>
        <v>5459427.083560838</v>
      </c>
      <c r="T44" s="56">
        <f t="shared" si="19"/>
        <v>5159158.593964992</v>
      </c>
      <c r="U44" s="57">
        <f t="shared" si="20"/>
        <v>320749.9428781279</v>
      </c>
      <c r="V44" s="50">
        <f t="shared" si="21"/>
        <v>5479908.53684312</v>
      </c>
      <c r="W44" s="59">
        <f>V44/$V$58*'[1]Kriterien - prozentuale Anteile'!$B$3</f>
        <v>5479908.536843122</v>
      </c>
      <c r="X44" s="60" t="s">
        <v>86</v>
      </c>
    </row>
    <row r="45" spans="1:24" ht="12.75">
      <c r="A45" s="49" t="s">
        <v>87</v>
      </c>
      <c r="B45" s="50">
        <v>3916270.35</v>
      </c>
      <c r="C45" s="51">
        <v>60890</v>
      </c>
      <c r="D45" s="52">
        <f t="shared" si="11"/>
        <v>64.31713499753654</v>
      </c>
      <c r="E45" s="53">
        <v>60593</v>
      </c>
      <c r="F45" s="54">
        <f t="shared" si="12"/>
        <v>120000.00000068854</v>
      </c>
      <c r="G45" s="54">
        <f t="shared" si="13"/>
        <v>3313726.9557946674</v>
      </c>
      <c r="H45" s="54">
        <f t="shared" si="14"/>
        <v>11860</v>
      </c>
      <c r="I45" s="55">
        <f>$I$6*'[1]KiGem - modifizierte Zahl'!I42</f>
        <v>586500.0000021872</v>
      </c>
      <c r="J45" s="54">
        <f t="shared" si="15"/>
        <v>0</v>
      </c>
      <c r="K45" s="54">
        <f>$K$6*'[1]Zuschläge'!C42</f>
        <v>0</v>
      </c>
      <c r="L45" s="54">
        <f>$L$6*'[1]Zuschläge'!D42</f>
        <v>0</v>
      </c>
      <c r="M45" s="54">
        <f>$M$6*'[1]Zuschläge'!E42</f>
        <v>0</v>
      </c>
      <c r="N45" s="54">
        <f>$N$6*'[1]Zuschläge'!F42</f>
        <v>0</v>
      </c>
      <c r="O45" s="50">
        <f t="shared" si="16"/>
        <v>4032086.9557975433</v>
      </c>
      <c r="P45" s="56">
        <f>$P$6*'[1]Zuschläge'!G42</f>
        <v>0</v>
      </c>
      <c r="Q45" s="57">
        <f t="shared" si="17"/>
        <v>4032086.9557975433</v>
      </c>
      <c r="R45" s="58">
        <f t="shared" si="18"/>
        <v>3897168.160905732</v>
      </c>
      <c r="S45" s="57">
        <f>R45/$R$58*'[1]Kriterien - prozentuale Anteile'!$B$3</f>
        <v>3916465.438385087</v>
      </c>
      <c r="T45" s="56">
        <f t="shared" si="19"/>
        <v>3701059.8392739072</v>
      </c>
      <c r="U45" s="57">
        <f t="shared" si="20"/>
        <v>221764.78256886487</v>
      </c>
      <c r="V45" s="50">
        <f t="shared" si="21"/>
        <v>3922824.6218427722</v>
      </c>
      <c r="W45" s="59">
        <f>V45/$V$58*'[1]Kriterien - prozentuale Anteile'!$B$3</f>
        <v>3922824.6218427736</v>
      </c>
      <c r="X45" s="60" t="s">
        <v>87</v>
      </c>
    </row>
    <row r="46" spans="1:24" ht="12.75">
      <c r="A46" s="49" t="s">
        <v>88</v>
      </c>
      <c r="B46" s="50">
        <v>2311577.43</v>
      </c>
      <c r="C46" s="51">
        <v>35099</v>
      </c>
      <c r="D46" s="52">
        <f t="shared" si="11"/>
        <v>65.85878315621528</v>
      </c>
      <c r="E46" s="53">
        <v>35012</v>
      </c>
      <c r="F46" s="54">
        <f t="shared" si="12"/>
        <v>120000.00000068854</v>
      </c>
      <c r="G46" s="54">
        <f t="shared" si="13"/>
        <v>1914746.0626851763</v>
      </c>
      <c r="H46" s="54">
        <f t="shared" si="14"/>
        <v>0</v>
      </c>
      <c r="I46" s="55">
        <f>$I$6*'[1]KiGem - modifizierte Zahl'!I43</f>
        <v>365500.0000013631</v>
      </c>
      <c r="J46" s="54">
        <f t="shared" si="15"/>
        <v>0</v>
      </c>
      <c r="K46" s="54">
        <f>$K$6*'[1]Zuschläge'!C43</f>
        <v>0</v>
      </c>
      <c r="L46" s="54">
        <f>$L$6*'[1]Zuschläge'!D43</f>
        <v>0</v>
      </c>
      <c r="M46" s="54">
        <f>$M$6*'[1]Zuschläge'!E43</f>
        <v>0</v>
      </c>
      <c r="N46" s="54">
        <f>$N$6*'[1]Zuschläge'!F43</f>
        <v>100000.00001224264</v>
      </c>
      <c r="O46" s="50">
        <f t="shared" si="16"/>
        <v>2500246.0626994707</v>
      </c>
      <c r="P46" s="56">
        <f>$P$6*'[1]Zuschläge'!G43</f>
        <v>0</v>
      </c>
      <c r="Q46" s="57">
        <f t="shared" si="17"/>
        <v>2500246.0626994707</v>
      </c>
      <c r="R46" s="58">
        <f t="shared" si="18"/>
        <v>2305847.7158654095</v>
      </c>
      <c r="S46" s="57">
        <f>R46/$R$58*'[1]Kriterien - prozentuale Anteile'!$B$3</f>
        <v>2317265.3866871507</v>
      </c>
      <c r="T46" s="56">
        <f t="shared" si="19"/>
        <v>2189815.7904193574</v>
      </c>
      <c r="U46" s="57">
        <f t="shared" si="20"/>
        <v>137513.5334484709</v>
      </c>
      <c r="V46" s="50">
        <f t="shared" si="21"/>
        <v>2327329.323867828</v>
      </c>
      <c r="W46" s="59">
        <f>V46/$V$58*'[1]Kriterien - prozentuale Anteile'!$B$3</f>
        <v>2327329.323867829</v>
      </c>
      <c r="X46" s="60" t="s">
        <v>88</v>
      </c>
    </row>
    <row r="47" spans="1:24" ht="12.75">
      <c r="A47" s="49" t="s">
        <v>89</v>
      </c>
      <c r="B47" s="50">
        <v>2812913</v>
      </c>
      <c r="C47" s="51">
        <v>39736</v>
      </c>
      <c r="D47" s="52">
        <f t="shared" si="11"/>
        <v>70.79003925911013</v>
      </c>
      <c r="E47" s="53">
        <v>39511</v>
      </c>
      <c r="F47" s="54">
        <f t="shared" si="12"/>
        <v>120000.00000068854</v>
      </c>
      <c r="G47" s="54">
        <f t="shared" si="13"/>
        <v>2160788.6348324576</v>
      </c>
      <c r="H47" s="54">
        <f t="shared" si="14"/>
        <v>0</v>
      </c>
      <c r="I47" s="55">
        <f>$I$6*'[1]KiGem - modifizierte Zahl'!I44</f>
        <v>641750.0000023933</v>
      </c>
      <c r="J47" s="54">
        <f t="shared" si="15"/>
        <v>0</v>
      </c>
      <c r="K47" s="54">
        <f>$K$6*'[1]Zuschläge'!C44</f>
        <v>0</v>
      </c>
      <c r="L47" s="54">
        <f>$L$6*'[1]Zuschläge'!D44</f>
        <v>0</v>
      </c>
      <c r="M47" s="54">
        <f>$M$6*'[1]Zuschläge'!E44</f>
        <v>0</v>
      </c>
      <c r="N47" s="54">
        <f>$N$6*'[1]Zuschläge'!F44</f>
        <v>0</v>
      </c>
      <c r="O47" s="50">
        <f t="shared" si="16"/>
        <v>2922538.6348355394</v>
      </c>
      <c r="P47" s="56">
        <f>$P$6*'[1]Zuschläge'!G44</f>
        <v>0</v>
      </c>
      <c r="Q47" s="57">
        <f t="shared" si="17"/>
        <v>2922538.6348355394</v>
      </c>
      <c r="R47" s="58">
        <f t="shared" si="18"/>
        <v>2796985.2411667</v>
      </c>
      <c r="S47" s="57">
        <f>R47/$R$58*'[1]Kriterien - prozentuale Anteile'!$B$3</f>
        <v>2810834.836071507</v>
      </c>
      <c r="T47" s="56">
        <f t="shared" si="19"/>
        <v>2656238.920087574</v>
      </c>
      <c r="U47" s="57">
        <f t="shared" si="20"/>
        <v>160739.62491595466</v>
      </c>
      <c r="V47" s="50">
        <f t="shared" si="21"/>
        <v>2816978.5450035287</v>
      </c>
      <c r="W47" s="59">
        <f>V47/$V$58*'[1]Kriterien - prozentuale Anteile'!$B$3</f>
        <v>2816978.5450035296</v>
      </c>
      <c r="X47" s="60" t="s">
        <v>89</v>
      </c>
    </row>
    <row r="48" spans="1:24" ht="12.75">
      <c r="A48" s="49" t="s">
        <v>90</v>
      </c>
      <c r="B48" s="50">
        <v>9675400.43</v>
      </c>
      <c r="C48" s="51">
        <v>55888</v>
      </c>
      <c r="D48" s="52">
        <f t="shared" si="11"/>
        <v>173.12125017892927</v>
      </c>
      <c r="E48" s="53">
        <v>55687</v>
      </c>
      <c r="F48" s="54">
        <f t="shared" si="12"/>
        <v>120000.00000068854</v>
      </c>
      <c r="G48" s="54">
        <f t="shared" si="13"/>
        <v>3045426.2536487323</v>
      </c>
      <c r="H48" s="54">
        <f t="shared" si="14"/>
        <v>0</v>
      </c>
      <c r="I48" s="55">
        <f>$I$6*'[1]KiGem - modifizierte Zahl'!I45</f>
        <v>467500.0000017435</v>
      </c>
      <c r="J48" s="54">
        <f t="shared" si="15"/>
        <v>3511241.0399491917</v>
      </c>
      <c r="K48" s="54">
        <f>$K$6*'[1]Zuschläge'!C45</f>
        <v>0</v>
      </c>
      <c r="L48" s="54">
        <f>$L$6*'[1]Zuschläge'!D45</f>
        <v>0</v>
      </c>
      <c r="M48" s="54">
        <f>$M$6*'[1]Zuschläge'!E45</f>
        <v>0</v>
      </c>
      <c r="N48" s="54">
        <f>$N$6*'[1]Zuschläge'!F45</f>
        <v>0</v>
      </c>
      <c r="O48" s="50">
        <f t="shared" si="16"/>
        <v>7144167.293600356</v>
      </c>
      <c r="P48" s="56">
        <f>$P$6*'[1]Zuschläge'!G45</f>
        <v>1000000</v>
      </c>
      <c r="Q48" s="57">
        <f t="shared" si="17"/>
        <v>8144167.293600356</v>
      </c>
      <c r="R48" s="58">
        <f t="shared" si="18"/>
        <v>9640603.058714036</v>
      </c>
      <c r="S48" s="57">
        <f>R48/$R$58*'[1]Kriterien - prozentuale Anteile'!$B$3</f>
        <v>9688339.616288982</v>
      </c>
      <c r="T48" s="56">
        <f t="shared" si="19"/>
        <v>9155480.937393088</v>
      </c>
      <c r="U48" s="57">
        <f t="shared" si="20"/>
        <v>447929.2011480196</v>
      </c>
      <c r="V48" s="50">
        <f t="shared" si="21"/>
        <v>9603410.138541108</v>
      </c>
      <c r="W48" s="59">
        <f>V48/$V$58*'[1]Kriterien - prozentuale Anteile'!$B$3</f>
        <v>9603410.138541112</v>
      </c>
      <c r="X48" s="60" t="s">
        <v>90</v>
      </c>
    </row>
    <row r="49" spans="1:24" ht="12.75">
      <c r="A49" s="49" t="s">
        <v>91</v>
      </c>
      <c r="B49" s="50">
        <v>2953220.46</v>
      </c>
      <c r="C49" s="51">
        <v>40748</v>
      </c>
      <c r="D49" s="52">
        <f t="shared" si="11"/>
        <v>72.47522479630902</v>
      </c>
      <c r="E49" s="53">
        <v>40609</v>
      </c>
      <c r="F49" s="54">
        <f t="shared" si="12"/>
        <v>120000.00000068854</v>
      </c>
      <c r="G49" s="54">
        <f t="shared" si="13"/>
        <v>2220836.366376737</v>
      </c>
      <c r="H49" s="54">
        <f t="shared" si="14"/>
        <v>0</v>
      </c>
      <c r="I49" s="55">
        <f>$I$6*'[1]KiGem - modifizierte Zahl'!I46</f>
        <v>624750.0000023299</v>
      </c>
      <c r="J49" s="54">
        <f t="shared" si="15"/>
        <v>0</v>
      </c>
      <c r="K49" s="54">
        <f>$K$6*'[1]Zuschläge'!C46</f>
        <v>0</v>
      </c>
      <c r="L49" s="54">
        <f>$L$6*'[1]Zuschläge'!D46</f>
        <v>0</v>
      </c>
      <c r="M49" s="54">
        <f>$M$6*'[1]Zuschläge'!E46</f>
        <v>0</v>
      </c>
      <c r="N49" s="54">
        <f>$N$6*'[1]Zuschläge'!F46</f>
        <v>0</v>
      </c>
      <c r="O49" s="50">
        <f t="shared" si="16"/>
        <v>2965586.3663797555</v>
      </c>
      <c r="P49" s="56">
        <f>$P$6*'[1]Zuschläge'!G46</f>
        <v>0</v>
      </c>
      <c r="Q49" s="57">
        <f t="shared" si="17"/>
        <v>2965586.3663797555</v>
      </c>
      <c r="R49" s="58">
        <f t="shared" si="18"/>
        <v>2943146.403753313</v>
      </c>
      <c r="S49" s="57">
        <f>R49/$R$58*'[1]Kriterien - prozentuale Anteile'!$B$3</f>
        <v>2957719.7325065667</v>
      </c>
      <c r="T49" s="56">
        <f t="shared" si="19"/>
        <v>2795045.147218705</v>
      </c>
      <c r="U49" s="57">
        <f t="shared" si="20"/>
        <v>163107.25015088657</v>
      </c>
      <c r="V49" s="50">
        <f t="shared" si="21"/>
        <v>2958152.3973695915</v>
      </c>
      <c r="W49" s="59">
        <f>V49/$V$58*'[1]Kriterien - prozentuale Anteile'!$B$3</f>
        <v>2958152.3973695925</v>
      </c>
      <c r="X49" s="60" t="s">
        <v>91</v>
      </c>
    </row>
    <row r="50" spans="1:24" ht="12.75">
      <c r="A50" s="49" t="s">
        <v>92</v>
      </c>
      <c r="B50" s="50">
        <v>6767938.96</v>
      </c>
      <c r="C50" s="51">
        <v>88755</v>
      </c>
      <c r="D50" s="52">
        <f t="shared" si="11"/>
        <v>76.25417114528759</v>
      </c>
      <c r="E50" s="53">
        <v>88775</v>
      </c>
      <c r="F50" s="54">
        <f t="shared" si="12"/>
        <v>120000.00000068854</v>
      </c>
      <c r="G50" s="54">
        <f t="shared" si="13"/>
        <v>4854952.065431181</v>
      </c>
      <c r="H50" s="54">
        <f t="shared" si="14"/>
        <v>575500</v>
      </c>
      <c r="I50" s="55">
        <f>$I$6*'[1]KiGem - modifizierte Zahl'!I47</f>
        <v>867000.0000032333</v>
      </c>
      <c r="J50" s="54">
        <f t="shared" si="15"/>
        <v>0</v>
      </c>
      <c r="K50" s="54">
        <f>$K$6*'[1]Zuschläge'!C47</f>
        <v>0</v>
      </c>
      <c r="L50" s="54">
        <f>$L$6*'[1]Zuschläge'!D47</f>
        <v>0</v>
      </c>
      <c r="M50" s="54">
        <f>$M$6*'[1]Zuschläge'!E47</f>
        <v>300000.0000002925</v>
      </c>
      <c r="N50" s="54">
        <f>$N$6*'[1]Zuschläge'!F47</f>
        <v>0</v>
      </c>
      <c r="O50" s="50">
        <f t="shared" si="16"/>
        <v>6717452.065435396</v>
      </c>
      <c r="P50" s="56">
        <f>$P$6*'[1]Zuschläge'!G47</f>
        <v>0</v>
      </c>
      <c r="Q50" s="57">
        <f t="shared" si="17"/>
        <v>6717452.065435396</v>
      </c>
      <c r="R50" s="58">
        <f t="shared" si="18"/>
        <v>6769464.043422906</v>
      </c>
      <c r="S50" s="57">
        <f>R50/$R$58*'[1]Kriterien - prozentuale Anteile'!$B$3</f>
        <v>6802983.825130783</v>
      </c>
      <c r="T50" s="56">
        <f t="shared" si="19"/>
        <v>6428819.714748589</v>
      </c>
      <c r="U50" s="57">
        <f t="shared" si="20"/>
        <v>369459.8635989468</v>
      </c>
      <c r="V50" s="50">
        <f t="shared" si="21"/>
        <v>6798279.578347536</v>
      </c>
      <c r="W50" s="59">
        <f>V50/$V$58*'[1]Kriterien - prozentuale Anteile'!$B$3</f>
        <v>6798279.578347538</v>
      </c>
      <c r="X50" s="60" t="s">
        <v>92</v>
      </c>
    </row>
    <row r="51" spans="1:24" ht="12.75">
      <c r="A51" s="49" t="s">
        <v>93</v>
      </c>
      <c r="B51" s="50">
        <v>4065247.68</v>
      </c>
      <c r="C51" s="51">
        <v>60786</v>
      </c>
      <c r="D51" s="52">
        <f t="shared" si="11"/>
        <v>66.87802586121805</v>
      </c>
      <c r="E51" s="53">
        <v>60702</v>
      </c>
      <c r="F51" s="54">
        <f t="shared" si="12"/>
        <v>120000.00000068854</v>
      </c>
      <c r="G51" s="54">
        <f t="shared" si="13"/>
        <v>3319687.978325019</v>
      </c>
      <c r="H51" s="54">
        <f t="shared" si="14"/>
        <v>14040</v>
      </c>
      <c r="I51" s="55">
        <f>$I$6*'[1]KiGem - modifizierte Zahl'!I48</f>
        <v>476000.00000177516</v>
      </c>
      <c r="J51" s="54">
        <f t="shared" si="15"/>
        <v>0</v>
      </c>
      <c r="K51" s="54">
        <f>$K$6*'[1]Zuschläge'!C48</f>
        <v>0</v>
      </c>
      <c r="L51" s="54">
        <f>$L$6*'[1]Zuschläge'!D48</f>
        <v>0</v>
      </c>
      <c r="M51" s="54">
        <f>$M$6*'[1]Zuschläge'!E48</f>
        <v>150000.00000014625</v>
      </c>
      <c r="N51" s="54">
        <f>$N$6*'[1]Zuschläge'!F48</f>
        <v>0</v>
      </c>
      <c r="O51" s="50">
        <f t="shared" si="16"/>
        <v>4079727.978327629</v>
      </c>
      <c r="P51" s="56">
        <f>$P$6*'[1]Zuschläge'!G48</f>
        <v>0</v>
      </c>
      <c r="Q51" s="57">
        <f t="shared" si="17"/>
        <v>4079727.978327629</v>
      </c>
      <c r="R51" s="58">
        <f t="shared" si="18"/>
        <v>4059629.925827658</v>
      </c>
      <c r="S51" s="57">
        <f>R51/$R$58*'[1]Kriterien - prozentuale Anteile'!$B$3</f>
        <v>4079731.6514673294</v>
      </c>
      <c r="T51" s="56">
        <f t="shared" si="19"/>
        <v>3855346.410636626</v>
      </c>
      <c r="U51" s="57">
        <f t="shared" si="20"/>
        <v>224385.0388080196</v>
      </c>
      <c r="V51" s="50">
        <f t="shared" si="21"/>
        <v>4079731.449444646</v>
      </c>
      <c r="W51" s="59">
        <f>V51/$V$58*'[1]Kriterien - prozentuale Anteile'!$B$3</f>
        <v>4079731.449444648</v>
      </c>
      <c r="X51" s="60" t="s">
        <v>93</v>
      </c>
    </row>
    <row r="52" spans="1:24" ht="12.75">
      <c r="A52" s="49" t="s">
        <v>94</v>
      </c>
      <c r="B52" s="50">
        <v>4980516.84</v>
      </c>
      <c r="C52" s="51">
        <v>55762</v>
      </c>
      <c r="D52" s="52">
        <f t="shared" si="11"/>
        <v>89.31739966285284</v>
      </c>
      <c r="E52" s="53">
        <v>55408</v>
      </c>
      <c r="F52" s="54">
        <f t="shared" si="12"/>
        <v>120000.00000068854</v>
      </c>
      <c r="G52" s="54">
        <f t="shared" si="13"/>
        <v>3030168.223502235</v>
      </c>
      <c r="H52" s="54">
        <f t="shared" si="14"/>
        <v>0</v>
      </c>
      <c r="I52" s="55">
        <f>$I$6*'[1]KiGem - modifizierte Zahl'!I49</f>
        <v>675750.0000025202</v>
      </c>
      <c r="J52" s="54">
        <f t="shared" si="15"/>
        <v>0</v>
      </c>
      <c r="K52" s="54">
        <f>$K$6*'[1]Zuschläge'!C49</f>
        <v>0</v>
      </c>
      <c r="L52" s="54">
        <f>$L$6*'[1]Zuschläge'!D49</f>
        <v>499999.9999761973</v>
      </c>
      <c r="M52" s="54">
        <f>$M$6*'[1]Zuschläge'!E49</f>
        <v>0</v>
      </c>
      <c r="N52" s="54">
        <f>$N$6*'[1]Zuschläge'!F49</f>
        <v>0</v>
      </c>
      <c r="O52" s="50">
        <f t="shared" si="16"/>
        <v>4325918.223481641</v>
      </c>
      <c r="P52" s="56">
        <f>$P$6*'[1]Zuschläge'!G49</f>
        <v>0</v>
      </c>
      <c r="Q52" s="57">
        <f t="shared" si="17"/>
        <v>4325918.223481641</v>
      </c>
      <c r="R52" s="58">
        <f t="shared" si="18"/>
        <v>4948898.48051935</v>
      </c>
      <c r="S52" s="57">
        <f>R52/$R$58*'[1]Kriterien - prozentuale Anteile'!$B$3</f>
        <v>4973403.521937307</v>
      </c>
      <c r="T52" s="56">
        <f t="shared" si="19"/>
        <v>4699866.3282307545</v>
      </c>
      <c r="U52" s="57">
        <f t="shared" si="20"/>
        <v>237925.50229149027</v>
      </c>
      <c r="V52" s="50">
        <f t="shared" si="21"/>
        <v>4937791.830522245</v>
      </c>
      <c r="W52" s="59">
        <f>V52/$V$58*'[1]Kriterien - prozentuale Anteile'!$B$3</f>
        <v>4937791.830522247</v>
      </c>
      <c r="X52" s="60" t="s">
        <v>94</v>
      </c>
    </row>
    <row r="53" spans="1:24" ht="12.75">
      <c r="A53" s="49" t="s">
        <v>95</v>
      </c>
      <c r="B53" s="50">
        <v>2043166.68</v>
      </c>
      <c r="C53" s="51">
        <v>31325</v>
      </c>
      <c r="D53" s="52">
        <f t="shared" si="11"/>
        <v>65.2247942537909</v>
      </c>
      <c r="E53" s="53">
        <v>31271</v>
      </c>
      <c r="F53" s="54">
        <f t="shared" si="12"/>
        <v>120000.00000068854</v>
      </c>
      <c r="G53" s="54">
        <f t="shared" si="13"/>
        <v>1710157.2068498842</v>
      </c>
      <c r="H53" s="54">
        <f t="shared" si="14"/>
        <v>0</v>
      </c>
      <c r="I53" s="55">
        <f>$I$6*'[1]KiGem - modifizierte Zahl'!I50</f>
        <v>357000.0000013314</v>
      </c>
      <c r="J53" s="54">
        <f t="shared" si="15"/>
        <v>0</v>
      </c>
      <c r="K53" s="54">
        <f>$K$6*'[1]Zuschläge'!C50</f>
        <v>0</v>
      </c>
      <c r="L53" s="54">
        <f>$L$6*'[1]Zuschläge'!D50</f>
        <v>0</v>
      </c>
      <c r="M53" s="54">
        <f>$M$6*'[1]Zuschläge'!E50</f>
        <v>0</v>
      </c>
      <c r="N53" s="54">
        <f>$N$6*'[1]Zuschläge'!F50</f>
        <v>0</v>
      </c>
      <c r="O53" s="50">
        <f t="shared" si="16"/>
        <v>2187157.2068519043</v>
      </c>
      <c r="P53" s="56">
        <f>$P$6*'[1]Zuschläge'!G50</f>
        <v>0</v>
      </c>
      <c r="Q53" s="57">
        <f t="shared" si="17"/>
        <v>2187157.2068519043</v>
      </c>
      <c r="R53" s="58">
        <f t="shared" si="18"/>
        <v>2039644.541110295</v>
      </c>
      <c r="S53" s="57">
        <f>R53/$R$58*'[1]Kriterien - prozentuale Anteile'!$B$3</f>
        <v>2049744.0762198886</v>
      </c>
      <c r="T53" s="56">
        <f t="shared" si="19"/>
        <v>1937008.1520277946</v>
      </c>
      <c r="U53" s="57">
        <f t="shared" si="20"/>
        <v>120293.64637685474</v>
      </c>
      <c r="V53" s="50">
        <f t="shared" si="21"/>
        <v>2057301.7984046494</v>
      </c>
      <c r="W53" s="59">
        <f>V53/$V$58*'[1]Kriterien - prozentuale Anteile'!$B$3</f>
        <v>2057301.7984046503</v>
      </c>
      <c r="X53" s="60" t="s">
        <v>95</v>
      </c>
    </row>
    <row r="54" spans="1:24" ht="12.75">
      <c r="A54" s="49" t="s">
        <v>96</v>
      </c>
      <c r="B54" s="50">
        <v>5658067.45</v>
      </c>
      <c r="C54" s="51">
        <v>78406</v>
      </c>
      <c r="D54" s="52">
        <f t="shared" si="11"/>
        <v>72.16370494605005</v>
      </c>
      <c r="E54" s="53">
        <v>77916</v>
      </c>
      <c r="F54" s="54">
        <f t="shared" si="12"/>
        <v>120000.00000068854</v>
      </c>
      <c r="G54" s="54">
        <f t="shared" si="13"/>
        <v>4261092.031879876</v>
      </c>
      <c r="H54" s="54">
        <f t="shared" si="14"/>
        <v>358320</v>
      </c>
      <c r="I54" s="55">
        <f>$I$6*'[1]KiGem - modifizierte Zahl'!I51</f>
        <v>667250.0000024884</v>
      </c>
      <c r="J54" s="54">
        <f t="shared" si="15"/>
        <v>0</v>
      </c>
      <c r="K54" s="54">
        <f>$K$6*'[1]Zuschläge'!C51</f>
        <v>0</v>
      </c>
      <c r="L54" s="54">
        <f>$L$6*'[1]Zuschläge'!D51</f>
        <v>0</v>
      </c>
      <c r="M54" s="54">
        <f>$M$6*'[1]Zuschläge'!E51</f>
        <v>0</v>
      </c>
      <c r="N54" s="54">
        <f>$N$6*'[1]Zuschläge'!F51</f>
        <v>0</v>
      </c>
      <c r="O54" s="50">
        <f t="shared" si="16"/>
        <v>5406662.031883053</v>
      </c>
      <c r="P54" s="56">
        <f>$P$6*'[1]Zuschläge'!G51</f>
        <v>100000</v>
      </c>
      <c r="Q54" s="57">
        <f t="shared" si="17"/>
        <v>5506662.031883053</v>
      </c>
      <c r="R54" s="58">
        <f t="shared" si="18"/>
        <v>5622707.234576436</v>
      </c>
      <c r="S54" s="57">
        <f>R54/$R$58*'[1]Kriterien - prozentuale Anteile'!$B$3</f>
        <v>5650548.717728033</v>
      </c>
      <c r="T54" s="56">
        <f t="shared" si="19"/>
        <v>5339768.538252991</v>
      </c>
      <c r="U54" s="57">
        <f t="shared" si="20"/>
        <v>302866.41175356787</v>
      </c>
      <c r="V54" s="50">
        <f t="shared" si="21"/>
        <v>5642634.950006559</v>
      </c>
      <c r="W54" s="59">
        <f>V54/$V$58*'[1]Kriterien - prozentuale Anteile'!$B$3</f>
        <v>5642634.950006561</v>
      </c>
      <c r="X54" s="60" t="s">
        <v>96</v>
      </c>
    </row>
    <row r="55" spans="1:24" ht="12.75">
      <c r="A55" s="49" t="s">
        <v>97</v>
      </c>
      <c r="B55" s="50">
        <v>1853885.88</v>
      </c>
      <c r="C55" s="51">
        <v>19824</v>
      </c>
      <c r="D55" s="52">
        <f t="shared" si="11"/>
        <v>93.51724576271185</v>
      </c>
      <c r="E55" s="53">
        <v>19848</v>
      </c>
      <c r="F55" s="54">
        <f t="shared" si="12"/>
        <v>120000.00000068854</v>
      </c>
      <c r="G55" s="54">
        <f t="shared" si="13"/>
        <v>1085452.9833250137</v>
      </c>
      <c r="H55" s="54">
        <f t="shared" si="14"/>
        <v>0</v>
      </c>
      <c r="I55" s="55">
        <f>$I$6*'[1]KiGem - modifizierte Zahl'!I52</f>
        <v>510000.000001902</v>
      </c>
      <c r="J55" s="54">
        <f t="shared" si="15"/>
        <v>0</v>
      </c>
      <c r="K55" s="54">
        <f>$K$6*'[1]Zuschläge'!C52</f>
        <v>0</v>
      </c>
      <c r="L55" s="54">
        <f>$L$6*'[1]Zuschläge'!D52</f>
        <v>0</v>
      </c>
      <c r="M55" s="54">
        <f>$M$6*'[1]Zuschläge'!E52</f>
        <v>0</v>
      </c>
      <c r="N55" s="54">
        <f>$N$6*'[1]Zuschläge'!F52</f>
        <v>0</v>
      </c>
      <c r="O55" s="50">
        <f t="shared" si="16"/>
        <v>1715452.9833276041</v>
      </c>
      <c r="P55" s="56">
        <f>$P$6*'[1]Zuschläge'!G52</f>
        <v>0</v>
      </c>
      <c r="Q55" s="57">
        <f t="shared" si="17"/>
        <v>1715452.9833276041</v>
      </c>
      <c r="R55" s="58">
        <f t="shared" si="18"/>
        <v>1856130.2938983047</v>
      </c>
      <c r="S55" s="57">
        <f>R55/$R$58*'[1]Kriterien - prozentuale Anteile'!$B$3</f>
        <v>1865321.1370542408</v>
      </c>
      <c r="T55" s="56">
        <f t="shared" si="19"/>
        <v>1762728.4745162574</v>
      </c>
      <c r="U55" s="57">
        <f t="shared" si="20"/>
        <v>94349.91408301823</v>
      </c>
      <c r="V55" s="50">
        <f t="shared" si="21"/>
        <v>1857078.3885992756</v>
      </c>
      <c r="W55" s="59">
        <f>V55/$V$58*'[1]Kriterien - prozentuale Anteile'!$B$3</f>
        <v>1857078.3885992763</v>
      </c>
      <c r="X55" s="60" t="s">
        <v>97</v>
      </c>
    </row>
    <row r="56" spans="1:24" ht="12.75">
      <c r="A56" s="49" t="s">
        <v>98</v>
      </c>
      <c r="B56" s="50">
        <v>1921029.8</v>
      </c>
      <c r="C56" s="51">
        <v>32126</v>
      </c>
      <c r="D56" s="52">
        <f t="shared" si="11"/>
        <v>59.79673161924921</v>
      </c>
      <c r="E56" s="53">
        <f>31944+83</f>
        <v>32027</v>
      </c>
      <c r="F56" s="54">
        <f t="shared" si="12"/>
        <v>120000.00000068854</v>
      </c>
      <c r="G56" s="54">
        <f t="shared" si="13"/>
        <v>1751501.5466016836</v>
      </c>
      <c r="H56" s="54">
        <f t="shared" si="14"/>
        <v>0</v>
      </c>
      <c r="I56" s="55">
        <f>$I$6*'[1]KiGem - modifizierte Zahl'!I53</f>
        <v>395250.00000147405</v>
      </c>
      <c r="J56" s="54">
        <f t="shared" si="15"/>
        <v>0</v>
      </c>
      <c r="K56" s="54">
        <f>$K$6*'[1]Zuschläge'!C53</f>
        <v>0</v>
      </c>
      <c r="L56" s="54">
        <f>$L$6*'[1]Zuschläge'!D53</f>
        <v>0</v>
      </c>
      <c r="M56" s="54">
        <f>$M$6*'[1]Zuschläge'!E53</f>
        <v>0</v>
      </c>
      <c r="N56" s="54">
        <f>$N$6*'[1]Zuschläge'!F53</f>
        <v>0</v>
      </c>
      <c r="O56" s="50">
        <f t="shared" si="16"/>
        <v>2266751.5466038464</v>
      </c>
      <c r="P56" s="56">
        <f>$P$6*'[1]Zuschläge'!G53</f>
        <v>0</v>
      </c>
      <c r="Q56" s="57">
        <f t="shared" si="17"/>
        <v>2266751.5466038464</v>
      </c>
      <c r="R56" s="58">
        <f t="shared" si="18"/>
        <v>1915109.9235696944</v>
      </c>
      <c r="S56" s="57">
        <f>R56/$R$58*'[1]Kriterien - prozentuale Anteile'!$B$3</f>
        <v>1924592.811162105</v>
      </c>
      <c r="T56" s="56">
        <f t="shared" si="19"/>
        <v>1818740.2065481893</v>
      </c>
      <c r="U56" s="57">
        <f t="shared" si="20"/>
        <v>124671.33506321155</v>
      </c>
      <c r="V56" s="50">
        <f t="shared" si="21"/>
        <v>1943411.541611401</v>
      </c>
      <c r="W56" s="59">
        <f>V56/$V$58*'[1]Kriterien - prozentuale Anteile'!$B$3</f>
        <v>1943411.5416114016</v>
      </c>
      <c r="X56" s="60" t="s">
        <v>98</v>
      </c>
    </row>
    <row r="57" spans="1:24" ht="13.5" thickBot="1">
      <c r="A57" s="61" t="s">
        <v>99</v>
      </c>
      <c r="B57" s="62">
        <v>3049119.46</v>
      </c>
      <c r="C57" s="63">
        <v>35017</v>
      </c>
      <c r="D57" s="64">
        <f t="shared" si="11"/>
        <v>87.07540508895678</v>
      </c>
      <c r="E57" s="65">
        <v>34589</v>
      </c>
      <c r="F57" s="66">
        <f t="shared" si="12"/>
        <v>120000.00000068854</v>
      </c>
      <c r="G57" s="66">
        <f t="shared" si="13"/>
        <v>1891612.9202050029</v>
      </c>
      <c r="H57" s="66">
        <f t="shared" si="14"/>
        <v>0</v>
      </c>
      <c r="I57" s="67">
        <f>$I$6*'[1]KiGem - modifizierte Zahl'!I54</f>
        <v>280500.0000010461</v>
      </c>
      <c r="J57" s="66">
        <f t="shared" si="15"/>
        <v>0</v>
      </c>
      <c r="K57" s="66">
        <f>$K$6*'[1]Zuschläge'!C54</f>
        <v>499999.9999761973</v>
      </c>
      <c r="L57" s="66">
        <f>$L$6*'[1]Zuschläge'!D54</f>
        <v>0</v>
      </c>
      <c r="M57" s="66">
        <f>$M$6*'[1]Zuschläge'!E54</f>
        <v>0</v>
      </c>
      <c r="N57" s="66">
        <f>$N$6*'[1]Zuschläge'!F54</f>
        <v>0</v>
      </c>
      <c r="O57" s="62">
        <f t="shared" si="16"/>
        <v>2792112.920182935</v>
      </c>
      <c r="P57" s="68">
        <f>$P$6*'[1]Zuschläge'!G54</f>
        <v>0</v>
      </c>
      <c r="Q57" s="69">
        <f t="shared" si="17"/>
        <v>2792112.920182935</v>
      </c>
      <c r="R57" s="70">
        <f t="shared" si="18"/>
        <v>3011851.1866219263</v>
      </c>
      <c r="S57" s="69">
        <f>R57/$R$58*'[1]Kriterien - prozentuale Anteile'!$B$3</f>
        <v>3026764.715028989</v>
      </c>
      <c r="T57" s="68">
        <f t="shared" si="19"/>
        <v>2860292.6557023944</v>
      </c>
      <c r="U57" s="69">
        <f t="shared" si="20"/>
        <v>153566.21061006142</v>
      </c>
      <c r="V57" s="62">
        <f t="shared" si="21"/>
        <v>3013858.866312456</v>
      </c>
      <c r="W57" s="71">
        <f>V57/$V$58*'[1]Kriterien - prozentuale Anteile'!$B$3</f>
        <v>3013858.866312457</v>
      </c>
      <c r="X57" s="72" t="s">
        <v>99</v>
      </c>
    </row>
    <row r="58" spans="1:24" ht="12.75">
      <c r="A58" s="73"/>
      <c r="B58" s="74">
        <f>SUM(B7:B57)</f>
        <v>171531800.01000005</v>
      </c>
      <c r="C58" s="75">
        <f>SUM(C7:C57)</f>
        <v>2346879</v>
      </c>
      <c r="D58" s="76">
        <f t="shared" si="11"/>
        <v>73.08932416626509</v>
      </c>
      <c r="E58" s="77">
        <f aca="true" t="shared" si="22" ref="E58:P58">SUM(E7:E57)</f>
        <v>2335722</v>
      </c>
      <c r="F58" s="78">
        <f t="shared" si="22"/>
        <v>6120000.000035113</v>
      </c>
      <c r="G58" s="78">
        <f t="shared" si="22"/>
        <v>127736618.9599893</v>
      </c>
      <c r="H58" s="78">
        <f t="shared" si="22"/>
        <v>2615940</v>
      </c>
      <c r="I58" s="78">
        <f t="shared" si="22"/>
        <v>25398000.000094723</v>
      </c>
      <c r="J58" s="78">
        <f t="shared" si="22"/>
        <v>3511241.0399491917</v>
      </c>
      <c r="K58" s="78">
        <f t="shared" si="22"/>
        <v>1499999.999928592</v>
      </c>
      <c r="L58" s="78">
        <f t="shared" si="22"/>
        <v>1499999.999928592</v>
      </c>
      <c r="M58" s="78">
        <f t="shared" si="22"/>
        <v>1050000.0000010238</v>
      </c>
      <c r="N58" s="78">
        <f t="shared" si="22"/>
        <v>600000.0000734559</v>
      </c>
      <c r="O58" s="74">
        <f t="shared" si="22"/>
        <v>170031800.00000003</v>
      </c>
      <c r="P58" s="79">
        <f t="shared" si="22"/>
        <v>1500000</v>
      </c>
      <c r="Q58" s="80">
        <f t="shared" si="17"/>
        <v>171531800.00000003</v>
      </c>
      <c r="R58" s="74">
        <f aca="true" t="shared" si="23" ref="R58:W58">SUM(R7:R57)</f>
        <v>170686625.49426043</v>
      </c>
      <c r="S58" s="74">
        <f t="shared" si="23"/>
        <v>171531799.99999997</v>
      </c>
      <c r="T58" s="79">
        <f t="shared" si="23"/>
        <v>162097550.9999999</v>
      </c>
      <c r="U58" s="80">
        <f t="shared" si="23"/>
        <v>9434249</v>
      </c>
      <c r="V58" s="74">
        <f t="shared" si="23"/>
        <v>171531799.99999994</v>
      </c>
      <c r="W58" s="81">
        <f t="shared" si="23"/>
        <v>171531800.00000003</v>
      </c>
      <c r="X58" s="82"/>
    </row>
    <row r="59" spans="4:24" ht="12.75">
      <c r="D59" s="83" t="s">
        <v>100</v>
      </c>
      <c r="E59" s="83"/>
      <c r="F59" s="84">
        <f aca="true" t="shared" si="24" ref="F59:N59">F58/$O$58</f>
        <v>0.03599326714199998</v>
      </c>
      <c r="G59" s="84">
        <f t="shared" si="24"/>
        <v>0.7512513480418914</v>
      </c>
      <c r="H59" s="84">
        <f t="shared" si="24"/>
        <v>0.015385004452108367</v>
      </c>
      <c r="I59" s="84">
        <f t="shared" si="24"/>
        <v>0.149372058639</v>
      </c>
      <c r="J59" s="84">
        <f t="shared" si="24"/>
        <v>0.020650496200999995</v>
      </c>
      <c r="K59" s="84">
        <f t="shared" si="24"/>
        <v>0.008821879200999999</v>
      </c>
      <c r="L59" s="84">
        <f t="shared" si="24"/>
        <v>0.008821879200999999</v>
      </c>
      <c r="M59" s="84">
        <f t="shared" si="24"/>
        <v>0.0061753154409999985</v>
      </c>
      <c r="N59" s="84">
        <f t="shared" si="24"/>
        <v>0.0035287516809999996</v>
      </c>
      <c r="O59" s="84">
        <f>F59+G59+H59+I59+J59+K59+L59+M59+N59</f>
        <v>0.9999999999999998</v>
      </c>
      <c r="X59" s="85"/>
    </row>
    <row r="60" spans="6:24" ht="12.75"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7"/>
      <c r="X60" s="85"/>
    </row>
    <row r="61" spans="6:14" ht="12.75">
      <c r="F61" s="88"/>
      <c r="G61" s="88"/>
      <c r="H61" s="89"/>
      <c r="I61" s="88"/>
      <c r="J61" s="88"/>
      <c r="K61" s="88"/>
      <c r="M61" s="88"/>
      <c r="N61" s="88"/>
    </row>
    <row r="62" spans="7:14" ht="12.75">
      <c r="G62" s="90"/>
      <c r="H62" s="88"/>
      <c r="I62" s="88"/>
      <c r="J62" s="88"/>
      <c r="K62" s="88"/>
      <c r="L62" s="88"/>
      <c r="M62" s="88"/>
      <c r="N62" s="88"/>
    </row>
  </sheetData>
  <conditionalFormatting sqref="E7:E57">
    <cfRule type="cellIs" priority="1" dxfId="0" operator="greaterThan" stopIfTrue="1">
      <formula>60000</formula>
    </cfRule>
  </conditionalFormatting>
  <printOptions/>
  <pageMargins left="0.1968503937007874" right="0.1968503937007874" top="0.5905511811023623" bottom="0.5905511811023623" header="0.11811023622047245" footer="0.11811023622047245"/>
  <pageSetup fitToWidth="2" fitToHeight="1" horizontalDpi="600" verticalDpi="600" orientation="landscape" paperSize="9" scale="61" r:id="rId3"/>
  <headerFooter alignWithMargins="0">
    <oddHeader>&amp;L&amp;12Evangelischer Oberkirchenrat Stuttgart
Sachgebiet Finanzen der Kirchengemeinden und Statistik&amp;R&amp;12Anlage 1 zu Rundschreiben AZ 74.20 Nr. 507/7 vom Dezember 2005</oddHeader>
    <oddFooter>&amp;L&amp;12Dateiname: &amp;F
Tabellenblatt: &amp;A&amp;R&amp;12Seite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rapp_r</dc:creator>
  <cp:keywords/>
  <dc:description/>
  <cp:lastModifiedBy>hofmann_r</cp:lastModifiedBy>
  <cp:lastPrinted>2005-12-02T10:35:47Z</cp:lastPrinted>
  <dcterms:created xsi:type="dcterms:W3CDTF">2005-12-02T10:16:38Z</dcterms:created>
  <dcterms:modified xsi:type="dcterms:W3CDTF">2005-12-05T09:45:14Z</dcterms:modified>
  <cp:category/>
  <cp:version/>
  <cp:contentType/>
  <cp:contentStatus/>
</cp:coreProperties>
</file>